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sotac24-my.sharepoint.com/personal/cfinanciero_asotac24_onmicrosoft_com/Documents/Documentos/INFORMACIÓN PUBLICA - 16-04-2020/2024 Informacion www asotacgua.com/12 DICIEMBRE/Numeral 08/"/>
    </mc:Choice>
  </mc:AlternateContent>
  <xr:revisionPtr revIDLastSave="0" documentId="8_{19C27859-938A-47E9-983D-DF3178707AF0}" xr6:coauthVersionLast="47" xr6:coauthVersionMax="47" xr10:uidLastSave="{00000000-0000-0000-0000-000000000000}"/>
  <bookViews>
    <workbookView xWindow="-120" yWindow="-120" windowWidth="29040" windowHeight="15720" tabRatio="810" firstSheet="1" activeTab="11" xr2:uid="{00000000-000D-0000-FFFF-FFFF00000000}"/>
  </bookViews>
  <sheets>
    <sheet name="ENERO 2024" sheetId="73" r:id="rId1"/>
    <sheet name="FEBRERO 2024" sheetId="74" r:id="rId2"/>
    <sheet name="MARZO 2024" sheetId="75" r:id="rId3"/>
    <sheet name="ABRIL 2024 " sheetId="76" r:id="rId4"/>
    <sheet name="MAYO 2024  " sheetId="77" r:id="rId5"/>
    <sheet name="JUNIO 2024 " sheetId="78" r:id="rId6"/>
    <sheet name="JULIO 2024  " sheetId="79" r:id="rId7"/>
    <sheet name="AGOSTO 2024 " sheetId="80" r:id="rId8"/>
    <sheet name="SEPTIEMBRE 2024" sheetId="81" r:id="rId9"/>
    <sheet name="OCTUBRE 2024" sheetId="85" r:id="rId10"/>
    <sheet name="NOVIEMBRE 2024" sheetId="86" r:id="rId11"/>
    <sheet name="DICIEMBRE 2024" sheetId="87" r:id="rId12"/>
  </sheets>
  <externalReferences>
    <externalReference r:id="rId13"/>
  </externalReferences>
  <definedNames>
    <definedName name="_xlnm.Print_Area" localSheetId="3">'ABRIL 2024 '!$A$1:$O$186</definedName>
    <definedName name="_xlnm.Print_Area" localSheetId="7">'AGOSTO 2024 '!$A$1:$O$189</definedName>
    <definedName name="_xlnm.Print_Area" localSheetId="11">'DICIEMBRE 2024'!$A$1:$U$181</definedName>
    <definedName name="_xlnm.Print_Area" localSheetId="0">'ENERO 2024'!$A$1:$O$186</definedName>
    <definedName name="_xlnm.Print_Area" localSheetId="1">'FEBRERO 2024'!$A$1:$O$186</definedName>
    <definedName name="_xlnm.Print_Area" localSheetId="6">'JULIO 2024  '!$A$1:$O$189</definedName>
    <definedName name="_xlnm.Print_Area" localSheetId="5">'JUNIO 2024 '!$A$1:$O$189</definedName>
    <definedName name="_xlnm.Print_Area" localSheetId="2">'MARZO 2024'!$A$1:$O$185</definedName>
    <definedName name="_xlnm.Print_Area" localSheetId="4">'MAYO 2024  '!$A$1:$O$189</definedName>
    <definedName name="_xlnm.Print_Area" localSheetId="10">'NOVIEMBRE 2024'!$A$1:$S$192</definedName>
    <definedName name="_xlnm.Print_Area" localSheetId="9">'OCTUBRE 2024'!$A$1:$S$191</definedName>
    <definedName name="_xlnm.Print_Area" localSheetId="8">'SEPTIEMBRE 2024'!$A$1:$S$176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5" i="73" l="1"/>
  <c r="V25" i="87" l="1"/>
  <c r="C152" i="87"/>
  <c r="F156" i="86" l="1"/>
  <c r="G160" i="73" l="1"/>
  <c r="G159" i="73"/>
  <c r="G158" i="73"/>
  <c r="H150" i="73"/>
  <c r="I151" i="73" s="1"/>
  <c r="G150" i="73"/>
  <c r="G155" i="73"/>
  <c r="F155" i="73"/>
  <c r="E153" i="73"/>
  <c r="R143" i="87" l="1"/>
  <c r="R142" i="87"/>
  <c r="R141" i="87"/>
  <c r="R140" i="87"/>
  <c r="R139" i="87"/>
  <c r="R138" i="87"/>
  <c r="R137" i="87"/>
  <c r="R136" i="87"/>
  <c r="R135" i="87"/>
  <c r="R134" i="87"/>
  <c r="R133" i="87"/>
  <c r="R132" i="87"/>
  <c r="R131" i="87"/>
  <c r="R130" i="87"/>
  <c r="R129" i="87"/>
  <c r="R128" i="87"/>
  <c r="R127" i="87"/>
  <c r="R126" i="87"/>
  <c r="R125" i="87"/>
  <c r="R124" i="87"/>
  <c r="R123" i="87"/>
  <c r="R122" i="87"/>
  <c r="R121" i="87"/>
  <c r="R120" i="87"/>
  <c r="R118" i="87"/>
  <c r="R117" i="87"/>
  <c r="R116" i="87"/>
  <c r="R115" i="87"/>
  <c r="R114" i="87"/>
  <c r="R113" i="87"/>
  <c r="R112" i="87"/>
  <c r="R111" i="87"/>
  <c r="R110" i="87"/>
  <c r="R109" i="87"/>
  <c r="R108" i="87"/>
  <c r="R107" i="87"/>
  <c r="R106" i="87"/>
  <c r="R105" i="87"/>
  <c r="R104" i="87"/>
  <c r="R103" i="87"/>
  <c r="R102" i="87"/>
  <c r="R101" i="87"/>
  <c r="R100" i="87"/>
  <c r="R99" i="87"/>
  <c r="R98" i="87"/>
  <c r="R97" i="87"/>
  <c r="R96" i="87"/>
  <c r="R95" i="87"/>
  <c r="R94" i="87"/>
  <c r="R93" i="87"/>
  <c r="R92" i="87"/>
  <c r="R91" i="87"/>
  <c r="R90" i="87"/>
  <c r="R89" i="87"/>
  <c r="R88" i="87"/>
  <c r="R87" i="87"/>
  <c r="R86" i="87"/>
  <c r="R85" i="87"/>
  <c r="R84" i="87"/>
  <c r="R83" i="87"/>
  <c r="R82" i="87"/>
  <c r="R81" i="87"/>
  <c r="R80" i="87"/>
  <c r="R79" i="87"/>
  <c r="R78" i="87"/>
  <c r="R77" i="87"/>
  <c r="R76" i="87"/>
  <c r="R75" i="87"/>
  <c r="R74" i="87"/>
  <c r="R73" i="87"/>
  <c r="R72" i="87"/>
  <c r="R71" i="87"/>
  <c r="R70" i="87"/>
  <c r="R69" i="87"/>
  <c r="R68" i="87"/>
  <c r="R67" i="87"/>
  <c r="R66" i="87"/>
  <c r="R65" i="87"/>
  <c r="R64" i="87"/>
  <c r="R63" i="87"/>
  <c r="R62" i="87"/>
  <c r="R61" i="87"/>
  <c r="R60" i="87"/>
  <c r="R59" i="87"/>
  <c r="R58" i="87"/>
  <c r="R57" i="87"/>
  <c r="R56" i="87"/>
  <c r="R55" i="87"/>
  <c r="R54" i="87"/>
  <c r="R53" i="87"/>
  <c r="R52" i="87"/>
  <c r="R51" i="87"/>
  <c r="R50" i="87"/>
  <c r="R49" i="87"/>
  <c r="R48" i="87"/>
  <c r="R47" i="87"/>
  <c r="R46" i="87"/>
  <c r="R45" i="87"/>
  <c r="R44" i="87"/>
  <c r="R43" i="87"/>
  <c r="R42" i="87"/>
  <c r="R41" i="87"/>
  <c r="R40" i="87"/>
  <c r="R39" i="87"/>
  <c r="R38" i="87"/>
  <c r="R37" i="87"/>
  <c r="R36" i="87"/>
  <c r="R35" i="87"/>
  <c r="R34" i="87"/>
  <c r="R33" i="87"/>
  <c r="R32" i="87"/>
  <c r="R31" i="87"/>
  <c r="R24" i="87"/>
  <c r="R23" i="87"/>
  <c r="R22" i="87"/>
  <c r="R21" i="87"/>
  <c r="R20" i="87"/>
  <c r="R19" i="87"/>
  <c r="R18" i="87"/>
  <c r="R17" i="87"/>
  <c r="R16" i="87"/>
  <c r="R15" i="87"/>
  <c r="R14" i="87"/>
  <c r="R13" i="87"/>
  <c r="R12" i="87"/>
  <c r="R10" i="87"/>
  <c r="Q144" i="87" l="1"/>
  <c r="P144" i="87"/>
  <c r="Q26" i="87"/>
  <c r="P26" i="87"/>
  <c r="S127" i="87"/>
  <c r="S72" i="87"/>
  <c r="S58" i="87"/>
  <c r="T58" i="87" s="1"/>
  <c r="S21" i="87"/>
  <c r="S20" i="87"/>
  <c r="T20" i="87" s="1"/>
  <c r="S19" i="87"/>
  <c r="T19" i="87" s="1"/>
  <c r="S18" i="87"/>
  <c r="T18" i="87" s="1"/>
  <c r="S15" i="87"/>
  <c r="S12" i="87"/>
  <c r="S10" i="87"/>
  <c r="S143" i="87"/>
  <c r="T143" i="87" s="1"/>
  <c r="S140" i="87"/>
  <c r="T140" i="87" s="1"/>
  <c r="S139" i="87"/>
  <c r="T139" i="87" s="1"/>
  <c r="S138" i="87"/>
  <c r="S137" i="87"/>
  <c r="S136" i="87"/>
  <c r="S131" i="87"/>
  <c r="S130" i="87"/>
  <c r="S129" i="87"/>
  <c r="S128" i="87"/>
  <c r="T128" i="87" s="1"/>
  <c r="S120" i="87"/>
  <c r="S119" i="87"/>
  <c r="S118" i="87"/>
  <c r="T118" i="87" s="1"/>
  <c r="S116" i="87"/>
  <c r="S115" i="87"/>
  <c r="T115" i="87" s="1"/>
  <c r="S114" i="87"/>
  <c r="S112" i="87"/>
  <c r="S111" i="87"/>
  <c r="S110" i="87"/>
  <c r="S109" i="87"/>
  <c r="S105" i="87"/>
  <c r="T105" i="87" s="1"/>
  <c r="S101" i="87"/>
  <c r="T101" i="87" s="1"/>
  <c r="S100" i="87"/>
  <c r="S99" i="87"/>
  <c r="T99" i="87" s="1"/>
  <c r="S98" i="87"/>
  <c r="T98" i="87" s="1"/>
  <c r="S97" i="87"/>
  <c r="S96" i="87"/>
  <c r="T96" i="87" s="1"/>
  <c r="S95" i="87"/>
  <c r="T95" i="87" s="1"/>
  <c r="S92" i="87"/>
  <c r="S91" i="87"/>
  <c r="S90" i="87"/>
  <c r="T90" i="87" s="1"/>
  <c r="S89" i="87"/>
  <c r="S88" i="87"/>
  <c r="T88" i="87" s="1"/>
  <c r="S86" i="87"/>
  <c r="T86" i="87" s="1"/>
  <c r="S84" i="87"/>
  <c r="S81" i="87"/>
  <c r="T81" i="87" s="1"/>
  <c r="S79" i="87"/>
  <c r="T79" i="87" s="1"/>
  <c r="S78" i="87"/>
  <c r="S77" i="87"/>
  <c r="T77" i="87" s="1"/>
  <c r="S76" i="87"/>
  <c r="S73" i="87"/>
  <c r="T73" i="87" s="1"/>
  <c r="S71" i="87"/>
  <c r="S70" i="87"/>
  <c r="S69" i="87"/>
  <c r="S66" i="87"/>
  <c r="S61" i="87"/>
  <c r="T61" i="87" s="1"/>
  <c r="S60" i="87"/>
  <c r="T60" i="87" s="1"/>
  <c r="S59" i="87"/>
  <c r="S57" i="87"/>
  <c r="T57" i="87" s="1"/>
  <c r="S56" i="87"/>
  <c r="S55" i="87"/>
  <c r="S54" i="87"/>
  <c r="S53" i="87"/>
  <c r="S52" i="87"/>
  <c r="S51" i="87"/>
  <c r="S50" i="87"/>
  <c r="T50" i="87" s="1"/>
  <c r="S49" i="87"/>
  <c r="S48" i="87"/>
  <c r="T48" i="87" s="1"/>
  <c r="S47" i="87"/>
  <c r="S46" i="87"/>
  <c r="S45" i="87"/>
  <c r="T45" i="87" s="1"/>
  <c r="S42" i="87"/>
  <c r="S41" i="87"/>
  <c r="S40" i="87"/>
  <c r="S39" i="87"/>
  <c r="S38" i="87"/>
  <c r="S37" i="87"/>
  <c r="T37" i="87" s="1"/>
  <c r="W37" i="87" s="1"/>
  <c r="S36" i="87"/>
  <c r="S33" i="87"/>
  <c r="S32" i="87"/>
  <c r="T32" i="87" s="1"/>
  <c r="S31" i="87"/>
  <c r="C167" i="87"/>
  <c r="O144" i="87"/>
  <c r="M144" i="87"/>
  <c r="L144" i="87"/>
  <c r="K144" i="87"/>
  <c r="J144" i="87"/>
  <c r="I144" i="87"/>
  <c r="H144" i="87"/>
  <c r="G144" i="87"/>
  <c r="F144" i="87"/>
  <c r="E144" i="87"/>
  <c r="D144" i="87"/>
  <c r="C144" i="87"/>
  <c r="T132" i="87"/>
  <c r="T126" i="87"/>
  <c r="T125" i="87"/>
  <c r="N119" i="87"/>
  <c r="T117" i="87"/>
  <c r="T116" i="87"/>
  <c r="T113" i="87"/>
  <c r="T108" i="87"/>
  <c r="T107" i="87"/>
  <c r="T106" i="87"/>
  <c r="T104" i="87"/>
  <c r="T103" i="87"/>
  <c r="T102" i="87"/>
  <c r="W102" i="87" s="1"/>
  <c r="T94" i="87"/>
  <c r="T93" i="87"/>
  <c r="T87" i="87"/>
  <c r="T85" i="87"/>
  <c r="T80" i="87"/>
  <c r="T78" i="87"/>
  <c r="T76" i="87"/>
  <c r="T75" i="87"/>
  <c r="T74" i="87"/>
  <c r="W69" i="87"/>
  <c r="X69" i="87"/>
  <c r="T68" i="87"/>
  <c r="T67" i="87"/>
  <c r="T65" i="87"/>
  <c r="T64" i="87"/>
  <c r="T63" i="87"/>
  <c r="T62" i="87"/>
  <c r="T56" i="87"/>
  <c r="V42" i="87"/>
  <c r="T42" i="87"/>
  <c r="T41" i="87"/>
  <c r="T35" i="87"/>
  <c r="T34" i="87"/>
  <c r="V33" i="87"/>
  <c r="O26" i="87"/>
  <c r="N26" i="87"/>
  <c r="M26" i="87"/>
  <c r="L26" i="87"/>
  <c r="K26" i="87"/>
  <c r="J26" i="87"/>
  <c r="I26" i="87"/>
  <c r="H26" i="87"/>
  <c r="G26" i="87"/>
  <c r="F26" i="87"/>
  <c r="E26" i="87"/>
  <c r="D26" i="87"/>
  <c r="C25" i="87"/>
  <c r="T24" i="87"/>
  <c r="T22" i="87"/>
  <c r="W22" i="87" s="1"/>
  <c r="T13" i="87"/>
  <c r="R11" i="87"/>
  <c r="I180" i="85"/>
  <c r="I182" i="85"/>
  <c r="P24" i="86"/>
  <c r="G177" i="85"/>
  <c r="F170" i="85"/>
  <c r="R119" i="87" l="1"/>
  <c r="T119" i="87" s="1"/>
  <c r="C26" i="87"/>
  <c r="R25" i="87"/>
  <c r="S26" i="87"/>
  <c r="T54" i="87"/>
  <c r="T110" i="87"/>
  <c r="X18" i="87"/>
  <c r="T109" i="87"/>
  <c r="T120" i="87"/>
  <c r="N144" i="87"/>
  <c r="T21" i="87"/>
  <c r="T47" i="87"/>
  <c r="T89" i="87"/>
  <c r="T91" i="87"/>
  <c r="T112" i="87"/>
  <c r="T38" i="87"/>
  <c r="T39" i="87"/>
  <c r="T92" i="87"/>
  <c r="T114" i="87"/>
  <c r="T138" i="87"/>
  <c r="T33" i="87"/>
  <c r="T129" i="87"/>
  <c r="T127" i="87"/>
  <c r="T72" i="87"/>
  <c r="T136" i="87"/>
  <c r="T66" i="87"/>
  <c r="T130" i="87"/>
  <c r="T131" i="87"/>
  <c r="T111" i="87"/>
  <c r="T51" i="87"/>
  <c r="T71" i="87"/>
  <c r="U24" i="87"/>
  <c r="U25" i="87"/>
  <c r="U21" i="87"/>
  <c r="U10" i="87"/>
  <c r="U15" i="87"/>
  <c r="T59" i="87"/>
  <c r="T84" i="87"/>
  <c r="T100" i="87"/>
  <c r="T31" i="87"/>
  <c r="T70" i="87"/>
  <c r="X70" i="87"/>
  <c r="X20" i="87"/>
  <c r="W18" i="87"/>
  <c r="T97" i="87"/>
  <c r="T12" i="87"/>
  <c r="W12" i="87" s="1"/>
  <c r="T40" i="87"/>
  <c r="T53" i="87"/>
  <c r="S144" i="87"/>
  <c r="T25" i="87"/>
  <c r="T10" i="87"/>
  <c r="T69" i="87"/>
  <c r="T15" i="87"/>
  <c r="W15" i="87" s="1"/>
  <c r="T36" i="87"/>
  <c r="T46" i="87"/>
  <c r="T49" i="87"/>
  <c r="T52" i="87"/>
  <c r="T55" i="87"/>
  <c r="T137" i="87"/>
  <c r="U69" i="86"/>
  <c r="C154" i="87" l="1"/>
  <c r="U26" i="87"/>
  <c r="R144" i="87"/>
  <c r="U18" i="87"/>
  <c r="U20" i="87"/>
  <c r="S145" i="87"/>
  <c r="C155" i="87"/>
  <c r="U12" i="87"/>
  <c r="U22" i="87"/>
  <c r="U19" i="87"/>
  <c r="U13" i="87"/>
  <c r="U101" i="87"/>
  <c r="U70" i="87"/>
  <c r="U56" i="87"/>
  <c r="U49" i="87"/>
  <c r="U52" i="87"/>
  <c r="U54" i="87"/>
  <c r="U95" i="87"/>
  <c r="U38" i="87"/>
  <c r="U37" i="87"/>
  <c r="U88" i="87"/>
  <c r="U92" i="87"/>
  <c r="U57" i="87"/>
  <c r="U118" i="87"/>
  <c r="U41" i="87"/>
  <c r="U73" i="87"/>
  <c r="U53" i="87"/>
  <c r="U31" i="87"/>
  <c r="U45" i="87"/>
  <c r="U46" i="87"/>
  <c r="U50" i="87"/>
  <c r="U143" i="87"/>
  <c r="U137" i="87"/>
  <c r="U77" i="87"/>
  <c r="U40" i="87"/>
  <c r="U81" i="87"/>
  <c r="U84" i="87"/>
  <c r="U47" i="87"/>
  <c r="U91" i="87"/>
  <c r="U51" i="87"/>
  <c r="U100" i="87"/>
  <c r="U36" i="87"/>
  <c r="U48" i="87"/>
  <c r="U114" i="87"/>
  <c r="U130" i="87"/>
  <c r="U120" i="87"/>
  <c r="U97" i="87"/>
  <c r="U89" i="87"/>
  <c r="U115" i="87"/>
  <c r="U55" i="87"/>
  <c r="T144" i="87"/>
  <c r="T26" i="87"/>
  <c r="U127" i="87"/>
  <c r="U108" i="87"/>
  <c r="U85" i="87"/>
  <c r="U68" i="87"/>
  <c r="U67" i="87"/>
  <c r="C156" i="87"/>
  <c r="U125" i="87"/>
  <c r="U106" i="87"/>
  <c r="U93" i="87"/>
  <c r="U72" i="87"/>
  <c r="U140" i="87"/>
  <c r="U99" i="87"/>
  <c r="U96" i="87"/>
  <c r="U61" i="87"/>
  <c r="U58" i="87"/>
  <c r="U131" i="87"/>
  <c r="U128" i="87"/>
  <c r="U112" i="87"/>
  <c r="U109" i="87"/>
  <c r="U102" i="87"/>
  <c r="U86" i="87"/>
  <c r="U78" i="87"/>
  <c r="U75" i="87"/>
  <c r="U69" i="87"/>
  <c r="U32" i="87"/>
  <c r="U126" i="87"/>
  <c r="U65" i="87"/>
  <c r="U35" i="87"/>
  <c r="U74" i="87"/>
  <c r="U104" i="87"/>
  <c r="U80" i="87"/>
  <c r="U117" i="87"/>
  <c r="U107" i="87"/>
  <c r="U76" i="87"/>
  <c r="U129" i="87"/>
  <c r="U110" i="87"/>
  <c r="U103" i="87"/>
  <c r="U39" i="87"/>
  <c r="U116" i="87"/>
  <c r="U87" i="87"/>
  <c r="U79" i="87"/>
  <c r="U33" i="87"/>
  <c r="U113" i="87"/>
  <c r="U119" i="87"/>
  <c r="U132" i="87"/>
  <c r="U42" i="87"/>
  <c r="U90" i="87"/>
  <c r="U62" i="87"/>
  <c r="U94" i="87"/>
  <c r="U111" i="87"/>
  <c r="U136" i="87"/>
  <c r="U60" i="87"/>
  <c r="U71" i="87"/>
  <c r="U138" i="87"/>
  <c r="U105" i="87"/>
  <c r="U98" i="87"/>
  <c r="R26" i="87"/>
  <c r="R145" i="87" s="1"/>
  <c r="U59" i="87"/>
  <c r="T33" i="86"/>
  <c r="C172" i="87" l="1"/>
  <c r="C170" i="87"/>
  <c r="T42" i="86"/>
  <c r="Q21" i="86" l="1"/>
  <c r="Q143" i="85" l="1"/>
  <c r="Q140" i="85"/>
  <c r="Q139" i="85"/>
  <c r="Q138" i="85"/>
  <c r="Q137" i="85"/>
  <c r="Q136" i="85"/>
  <c r="Q131" i="85"/>
  <c r="Q130" i="85"/>
  <c r="Q129" i="85"/>
  <c r="Q128" i="85"/>
  <c r="Q120" i="85"/>
  <c r="Q119" i="85"/>
  <c r="Q118" i="85"/>
  <c r="Q116" i="85"/>
  <c r="Q115" i="85"/>
  <c r="Q114" i="85"/>
  <c r="Q112" i="85"/>
  <c r="Q111" i="85"/>
  <c r="Q110" i="85"/>
  <c r="Q109" i="85"/>
  <c r="Q105" i="85"/>
  <c r="Q101" i="85"/>
  <c r="Q100" i="85"/>
  <c r="Q99" i="85"/>
  <c r="Q98" i="85"/>
  <c r="Q97" i="85"/>
  <c r="Q96" i="85"/>
  <c r="Q95" i="85"/>
  <c r="Q92" i="85"/>
  <c r="Q91" i="85"/>
  <c r="Q90" i="85"/>
  <c r="Q89" i="85"/>
  <c r="Q88" i="85"/>
  <c r="Q86" i="85"/>
  <c r="Q84" i="85"/>
  <c r="Q81" i="85"/>
  <c r="Q79" i="85"/>
  <c r="Q78" i="85"/>
  <c r="Q77" i="85"/>
  <c r="Q76" i="85"/>
  <c r="Q73" i="85"/>
  <c r="Q71" i="85"/>
  <c r="Q70" i="85"/>
  <c r="Q69" i="85"/>
  <c r="Q66" i="85"/>
  <c r="Q61" i="85"/>
  <c r="Q60" i="85"/>
  <c r="Q59" i="85"/>
  <c r="Q57" i="85"/>
  <c r="Q56" i="85"/>
  <c r="Q55" i="85"/>
  <c r="Q54" i="85"/>
  <c r="Q53" i="85"/>
  <c r="Q52" i="85"/>
  <c r="Q51" i="85"/>
  <c r="Q50" i="85"/>
  <c r="Q49" i="85"/>
  <c r="Q48" i="85"/>
  <c r="Q47" i="85"/>
  <c r="Q46" i="85"/>
  <c r="Q45" i="85"/>
  <c r="Q42" i="85"/>
  <c r="Q41" i="85"/>
  <c r="Q40" i="85"/>
  <c r="Q39" i="85"/>
  <c r="Q38" i="85"/>
  <c r="Q37" i="85"/>
  <c r="Q36" i="85"/>
  <c r="Q33" i="85"/>
  <c r="Q32" i="85"/>
  <c r="Q31" i="85"/>
  <c r="Q20" i="85"/>
  <c r="Q19" i="85"/>
  <c r="Q18" i="85"/>
  <c r="Q15" i="85"/>
  <c r="Q12" i="85"/>
  <c r="Q10" i="85"/>
  <c r="C172" i="86"/>
  <c r="C156" i="86"/>
  <c r="O144" i="86"/>
  <c r="M144" i="86"/>
  <c r="L144" i="86"/>
  <c r="K144" i="86"/>
  <c r="J144" i="86"/>
  <c r="I144" i="86"/>
  <c r="H144" i="86"/>
  <c r="G144" i="86"/>
  <c r="F144" i="86"/>
  <c r="E144" i="86"/>
  <c r="D144" i="86"/>
  <c r="C144" i="86"/>
  <c r="Q143" i="86"/>
  <c r="P143" i="86"/>
  <c r="P142" i="86"/>
  <c r="P141" i="86"/>
  <c r="Q140" i="86"/>
  <c r="R140" i="86" s="1"/>
  <c r="P140" i="86"/>
  <c r="Q139" i="86"/>
  <c r="R139" i="86" s="1"/>
  <c r="P139" i="86"/>
  <c r="Q138" i="86"/>
  <c r="P138" i="86"/>
  <c r="Q137" i="86"/>
  <c r="R137" i="86" s="1"/>
  <c r="P137" i="86"/>
  <c r="Q136" i="86"/>
  <c r="P136" i="86"/>
  <c r="P135" i="86"/>
  <c r="P134" i="86"/>
  <c r="P133" i="86"/>
  <c r="P132" i="86"/>
  <c r="R132" i="86" s="1"/>
  <c r="Q131" i="86"/>
  <c r="R131" i="86" s="1"/>
  <c r="P131" i="86"/>
  <c r="Q130" i="86"/>
  <c r="R130" i="86" s="1"/>
  <c r="P130" i="86"/>
  <c r="Q129" i="86"/>
  <c r="P129" i="86"/>
  <c r="Q128" i="86"/>
  <c r="R128" i="86" s="1"/>
  <c r="P128" i="86"/>
  <c r="P127" i="86"/>
  <c r="R127" i="86" s="1"/>
  <c r="P126" i="86"/>
  <c r="R126" i="86" s="1"/>
  <c r="P125" i="86"/>
  <c r="R125" i="86" s="1"/>
  <c r="P124" i="86"/>
  <c r="P123" i="86"/>
  <c r="P122" i="86"/>
  <c r="P121" i="86"/>
  <c r="Q120" i="86"/>
  <c r="P120" i="86"/>
  <c r="Q119" i="86"/>
  <c r="N119" i="86"/>
  <c r="N144" i="86" s="1"/>
  <c r="Q118" i="86"/>
  <c r="R118" i="86" s="1"/>
  <c r="P118" i="86"/>
  <c r="P117" i="86"/>
  <c r="R117" i="86" s="1"/>
  <c r="Q116" i="86"/>
  <c r="P116" i="86"/>
  <c r="Q115" i="86"/>
  <c r="P115" i="86"/>
  <c r="Q114" i="86"/>
  <c r="P114" i="86"/>
  <c r="P113" i="86"/>
  <c r="R113" i="86" s="1"/>
  <c r="Q112" i="86"/>
  <c r="P112" i="86"/>
  <c r="Q111" i="86"/>
  <c r="R111" i="86" s="1"/>
  <c r="P111" i="86"/>
  <c r="Q110" i="86"/>
  <c r="P110" i="86"/>
  <c r="Q109" i="86"/>
  <c r="R109" i="86" s="1"/>
  <c r="P109" i="86"/>
  <c r="R108" i="86"/>
  <c r="P108" i="86"/>
  <c r="P107" i="86"/>
  <c r="R107" i="86" s="1"/>
  <c r="P106" i="86"/>
  <c r="R106" i="86" s="1"/>
  <c r="Q105" i="86"/>
  <c r="P105" i="86"/>
  <c r="R104" i="86"/>
  <c r="P104" i="86"/>
  <c r="P103" i="86"/>
  <c r="R103" i="86" s="1"/>
  <c r="P102" i="86"/>
  <c r="R102" i="86" s="1"/>
  <c r="U102" i="86" s="1"/>
  <c r="Q101" i="86"/>
  <c r="R101" i="86" s="1"/>
  <c r="P101" i="86"/>
  <c r="Q100" i="86"/>
  <c r="P100" i="86"/>
  <c r="Q99" i="86"/>
  <c r="P99" i="86"/>
  <c r="Q98" i="86"/>
  <c r="P98" i="86"/>
  <c r="Q97" i="86"/>
  <c r="P97" i="86"/>
  <c r="Q96" i="86"/>
  <c r="P96" i="86"/>
  <c r="Q95" i="86"/>
  <c r="R95" i="86" s="1"/>
  <c r="P95" i="86"/>
  <c r="P94" i="86"/>
  <c r="R94" i="86" s="1"/>
  <c r="P93" i="86"/>
  <c r="R93" i="86" s="1"/>
  <c r="Q92" i="86"/>
  <c r="P92" i="86"/>
  <c r="Q91" i="86"/>
  <c r="P91" i="86"/>
  <c r="Q90" i="86"/>
  <c r="P90" i="86"/>
  <c r="Q89" i="86"/>
  <c r="P89" i="86"/>
  <c r="Q88" i="86"/>
  <c r="R88" i="86" s="1"/>
  <c r="P88" i="86"/>
  <c r="P87" i="86"/>
  <c r="R87" i="86" s="1"/>
  <c r="Q86" i="86"/>
  <c r="P86" i="86"/>
  <c r="P85" i="86"/>
  <c r="R85" i="86" s="1"/>
  <c r="Q84" i="86"/>
  <c r="P84" i="86"/>
  <c r="P83" i="86"/>
  <c r="P82" i="86"/>
  <c r="Q81" i="86"/>
  <c r="P81" i="86"/>
  <c r="R80" i="86"/>
  <c r="P80" i="86"/>
  <c r="Q79" i="86"/>
  <c r="P79" i="86"/>
  <c r="Q78" i="86"/>
  <c r="P78" i="86"/>
  <c r="Q77" i="86"/>
  <c r="P77" i="86"/>
  <c r="Q76" i="86"/>
  <c r="P76" i="86"/>
  <c r="P75" i="86"/>
  <c r="R75" i="86" s="1"/>
  <c r="R74" i="86"/>
  <c r="P74" i="86"/>
  <c r="Q73" i="86"/>
  <c r="P73" i="86"/>
  <c r="P72" i="86"/>
  <c r="R72" i="86" s="1"/>
  <c r="Q71" i="86"/>
  <c r="P71" i="86"/>
  <c r="Q70" i="86"/>
  <c r="P70" i="86"/>
  <c r="V70" i="86" s="1"/>
  <c r="Q69" i="86"/>
  <c r="P69" i="86"/>
  <c r="V69" i="86" s="1"/>
  <c r="P68" i="86"/>
  <c r="R68" i="86" s="1"/>
  <c r="P67" i="86"/>
  <c r="R67" i="86" s="1"/>
  <c r="Q66" i="86"/>
  <c r="P66" i="86"/>
  <c r="P65" i="86"/>
  <c r="R65" i="86" s="1"/>
  <c r="P64" i="86"/>
  <c r="R64" i="86" s="1"/>
  <c r="P63" i="86"/>
  <c r="R63" i="86" s="1"/>
  <c r="P62" i="86"/>
  <c r="R62" i="86" s="1"/>
  <c r="Q61" i="86"/>
  <c r="P61" i="86"/>
  <c r="Q60" i="86"/>
  <c r="P60" i="86"/>
  <c r="Q59" i="86"/>
  <c r="P59" i="86"/>
  <c r="P58" i="86"/>
  <c r="R58" i="86" s="1"/>
  <c r="Q57" i="86"/>
  <c r="P57" i="86"/>
  <c r="Q56" i="86"/>
  <c r="P56" i="86"/>
  <c r="Q55" i="86"/>
  <c r="P55" i="86"/>
  <c r="Q54" i="86"/>
  <c r="P54" i="86"/>
  <c r="Q53" i="86"/>
  <c r="R53" i="86" s="1"/>
  <c r="P53" i="86"/>
  <c r="Q52" i="86"/>
  <c r="P52" i="86"/>
  <c r="Q51" i="86"/>
  <c r="P51" i="86"/>
  <c r="Q50" i="86"/>
  <c r="P50" i="86"/>
  <c r="Q49" i="86"/>
  <c r="P49" i="86"/>
  <c r="Q48" i="86"/>
  <c r="P48" i="86"/>
  <c r="Q47" i="86"/>
  <c r="R47" i="86" s="1"/>
  <c r="P47" i="86"/>
  <c r="Q46" i="86"/>
  <c r="P46" i="86"/>
  <c r="Q45" i="86"/>
  <c r="P45" i="86"/>
  <c r="P44" i="86"/>
  <c r="P43" i="86"/>
  <c r="Q42" i="86"/>
  <c r="R42" i="86" s="1"/>
  <c r="P42" i="86"/>
  <c r="Q41" i="86"/>
  <c r="P41" i="86"/>
  <c r="Q40" i="86"/>
  <c r="R40" i="86" s="1"/>
  <c r="P40" i="86"/>
  <c r="Q39" i="86"/>
  <c r="R39" i="86" s="1"/>
  <c r="P39" i="86"/>
  <c r="Q38" i="86"/>
  <c r="P38" i="86"/>
  <c r="Q37" i="86"/>
  <c r="P37" i="86"/>
  <c r="Q36" i="86"/>
  <c r="R36" i="86" s="1"/>
  <c r="P36" i="86"/>
  <c r="P35" i="86"/>
  <c r="R35" i="86" s="1"/>
  <c r="P34" i="86"/>
  <c r="R34" i="86" s="1"/>
  <c r="Q33" i="86"/>
  <c r="P33" i="86"/>
  <c r="Q32" i="86"/>
  <c r="P32" i="86"/>
  <c r="Q31" i="86"/>
  <c r="P31" i="86"/>
  <c r="O26" i="86"/>
  <c r="N26" i="86"/>
  <c r="M26" i="86"/>
  <c r="L26" i="86"/>
  <c r="K26" i="86"/>
  <c r="J26" i="86"/>
  <c r="I26" i="86"/>
  <c r="H26" i="86"/>
  <c r="G26" i="86"/>
  <c r="F26" i="86"/>
  <c r="E26" i="86"/>
  <c r="D26" i="86"/>
  <c r="C25" i="86"/>
  <c r="R24" i="86"/>
  <c r="P23" i="86"/>
  <c r="P22" i="86"/>
  <c r="R22" i="86" s="1"/>
  <c r="U22" i="86" s="1"/>
  <c r="P21" i="86"/>
  <c r="R21" i="86" s="1"/>
  <c r="Q20" i="86"/>
  <c r="P20" i="86"/>
  <c r="Q19" i="86"/>
  <c r="P19" i="86"/>
  <c r="P18" i="86"/>
  <c r="P17" i="86"/>
  <c r="P16" i="86"/>
  <c r="Q15" i="86"/>
  <c r="P15" i="86"/>
  <c r="P14" i="86"/>
  <c r="P13" i="86"/>
  <c r="R13" i="86" s="1"/>
  <c r="Q12" i="86"/>
  <c r="P12" i="86"/>
  <c r="P11" i="86"/>
  <c r="Q10" i="86"/>
  <c r="P10" i="86"/>
  <c r="C26" i="86" l="1"/>
  <c r="P25" i="86"/>
  <c r="P119" i="86"/>
  <c r="R71" i="86"/>
  <c r="R78" i="86"/>
  <c r="R92" i="86"/>
  <c r="R70" i="86"/>
  <c r="R37" i="86"/>
  <c r="U37" i="86" s="1"/>
  <c r="R112" i="86"/>
  <c r="R86" i="86"/>
  <c r="R50" i="86"/>
  <c r="R91" i="86"/>
  <c r="R56" i="86"/>
  <c r="R105" i="86"/>
  <c r="R115" i="86"/>
  <c r="R98" i="86"/>
  <c r="R81" i="86"/>
  <c r="R89" i="86"/>
  <c r="R76" i="86"/>
  <c r="R41" i="86"/>
  <c r="R136" i="86"/>
  <c r="R143" i="86"/>
  <c r="R45" i="86"/>
  <c r="R120" i="86"/>
  <c r="R77" i="86"/>
  <c r="R116" i="86"/>
  <c r="R73" i="86"/>
  <c r="R119" i="86"/>
  <c r="R110" i="86"/>
  <c r="R138" i="86"/>
  <c r="R114" i="86"/>
  <c r="R12" i="86"/>
  <c r="U12" i="86" s="1"/>
  <c r="R20" i="86"/>
  <c r="R33" i="86"/>
  <c r="R84" i="86"/>
  <c r="R129" i="86"/>
  <c r="R79" i="86"/>
  <c r="R55" i="86"/>
  <c r="R61" i="86"/>
  <c r="R69" i="86"/>
  <c r="R46" i="86"/>
  <c r="R51" i="86"/>
  <c r="R99" i="86"/>
  <c r="R15" i="86"/>
  <c r="U15" i="86" s="1"/>
  <c r="R52" i="86"/>
  <c r="R57" i="86"/>
  <c r="R100" i="86"/>
  <c r="R66" i="86"/>
  <c r="R90" i="86"/>
  <c r="R31" i="86"/>
  <c r="R48" i="86"/>
  <c r="R59" i="86"/>
  <c r="R96" i="86"/>
  <c r="R32" i="86"/>
  <c r="R38" i="86"/>
  <c r="R49" i="86"/>
  <c r="R54" i="86"/>
  <c r="R97" i="86"/>
  <c r="R10" i="86"/>
  <c r="P144" i="86"/>
  <c r="Q144" i="86"/>
  <c r="S76" i="86" s="1"/>
  <c r="R19" i="86"/>
  <c r="R60" i="86"/>
  <c r="R25" i="86"/>
  <c r="R144" i="86" l="1"/>
  <c r="S60" i="86"/>
  <c r="S48" i="86"/>
  <c r="S51" i="86"/>
  <c r="S88" i="86"/>
  <c r="S78" i="86"/>
  <c r="S54" i="86"/>
  <c r="S36" i="86"/>
  <c r="S129" i="86"/>
  <c r="S110" i="86"/>
  <c r="S98" i="86"/>
  <c r="S100" i="86"/>
  <c r="S45" i="86"/>
  <c r="S31" i="86"/>
  <c r="S91" i="86"/>
  <c r="S38" i="86"/>
  <c r="S96" i="86"/>
  <c r="S42" i="86"/>
  <c r="S137" i="86"/>
  <c r="S84" i="86"/>
  <c r="S138" i="86"/>
  <c r="S130" i="86"/>
  <c r="S69" i="86"/>
  <c r="S111" i="86"/>
  <c r="S61" i="86"/>
  <c r="S95" i="86"/>
  <c r="S70" i="86"/>
  <c r="S50" i="86"/>
  <c r="S57" i="86"/>
  <c r="S39" i="86"/>
  <c r="S86" i="86"/>
  <c r="S52" i="86"/>
  <c r="S79" i="86"/>
  <c r="S41" i="86"/>
  <c r="S47" i="86"/>
  <c r="S90" i="86"/>
  <c r="S97" i="86"/>
  <c r="S55" i="86"/>
  <c r="S53" i="86"/>
  <c r="P26" i="86"/>
  <c r="P145" i="86" s="1"/>
  <c r="S127" i="86"/>
  <c r="S108" i="86"/>
  <c r="S80" i="86"/>
  <c r="S62" i="86"/>
  <c r="S114" i="86"/>
  <c r="S132" i="86"/>
  <c r="S71" i="86"/>
  <c r="S143" i="86"/>
  <c r="S120" i="86"/>
  <c r="S104" i="86"/>
  <c r="S73" i="86"/>
  <c r="S32" i="86"/>
  <c r="S89" i="86"/>
  <c r="S117" i="86"/>
  <c r="S94" i="86"/>
  <c r="S126" i="86"/>
  <c r="S107" i="86"/>
  <c r="S58" i="86"/>
  <c r="S103" i="86"/>
  <c r="S87" i="86"/>
  <c r="S113" i="86"/>
  <c r="S72" i="86"/>
  <c r="S37" i="86"/>
  <c r="C158" i="86"/>
  <c r="S35" i="86"/>
  <c r="S93" i="86"/>
  <c r="S65" i="86"/>
  <c r="S81" i="86"/>
  <c r="S125" i="86"/>
  <c r="S102" i="86"/>
  <c r="Q145" i="86"/>
  <c r="S131" i="86"/>
  <c r="S128" i="86"/>
  <c r="S112" i="86"/>
  <c r="S109" i="86"/>
  <c r="S68" i="86"/>
  <c r="S33" i="86"/>
  <c r="S115" i="86"/>
  <c r="S105" i="86"/>
  <c r="S136" i="86"/>
  <c r="S118" i="86"/>
  <c r="S101" i="86"/>
  <c r="S74" i="86"/>
  <c r="S56" i="86"/>
  <c r="S85" i="86"/>
  <c r="S77" i="86"/>
  <c r="S67" i="86"/>
  <c r="S59" i="86"/>
  <c r="S106" i="86"/>
  <c r="S140" i="86"/>
  <c r="S75" i="86"/>
  <c r="S92" i="86"/>
  <c r="S40" i="86"/>
  <c r="S99" i="86"/>
  <c r="S46" i="86"/>
  <c r="S116" i="86"/>
  <c r="S49" i="86"/>
  <c r="S119" i="86"/>
  <c r="Q18" i="86" l="1"/>
  <c r="V18" i="86" s="1"/>
  <c r="R18" i="86" l="1"/>
  <c r="V20" i="86" s="1"/>
  <c r="Q26" i="86"/>
  <c r="S24" i="86" l="1"/>
  <c r="C157" i="86"/>
  <c r="C159" i="86" s="1"/>
  <c r="S13" i="86"/>
  <c r="S10" i="86"/>
  <c r="S15" i="86"/>
  <c r="S20" i="86"/>
  <c r="S19" i="86"/>
  <c r="S22" i="86"/>
  <c r="S21" i="86"/>
  <c r="S25" i="86"/>
  <c r="S12" i="86"/>
  <c r="S18" i="86"/>
  <c r="U18" i="86"/>
  <c r="R26" i="86"/>
  <c r="C175" i="86" l="1"/>
  <c r="C177" i="86"/>
  <c r="N119" i="85" l="1"/>
  <c r="C207" i="80"/>
  <c r="N26" i="85" l="1"/>
  <c r="O26" i="85"/>
  <c r="P119" i="85"/>
  <c r="N144" i="85"/>
  <c r="O144" i="85"/>
  <c r="C171" i="85"/>
  <c r="G171" i="85" s="1"/>
  <c r="C156" i="85"/>
  <c r="M144" i="85"/>
  <c r="L144" i="85"/>
  <c r="K144" i="85"/>
  <c r="J144" i="85"/>
  <c r="I144" i="85"/>
  <c r="H144" i="85"/>
  <c r="G144" i="85"/>
  <c r="F144" i="85"/>
  <c r="E144" i="85"/>
  <c r="D144" i="85"/>
  <c r="C144" i="85"/>
  <c r="P143" i="85"/>
  <c r="R143" i="85" s="1"/>
  <c r="P142" i="85"/>
  <c r="P141" i="85"/>
  <c r="P140" i="85"/>
  <c r="P139" i="85"/>
  <c r="P138" i="85"/>
  <c r="P137" i="85"/>
  <c r="P136" i="85"/>
  <c r="P135" i="85"/>
  <c r="P134" i="85"/>
  <c r="P133" i="85"/>
  <c r="P132" i="85"/>
  <c r="R132" i="85" s="1"/>
  <c r="P131" i="85"/>
  <c r="R131" i="85" s="1"/>
  <c r="P130" i="85"/>
  <c r="P129" i="85"/>
  <c r="P128" i="85"/>
  <c r="R128" i="85" s="1"/>
  <c r="P127" i="85"/>
  <c r="R127" i="85" s="1"/>
  <c r="P126" i="85"/>
  <c r="R126" i="85" s="1"/>
  <c r="P125" i="85"/>
  <c r="R125" i="85" s="1"/>
  <c r="P124" i="85"/>
  <c r="P123" i="85"/>
  <c r="P122" i="85"/>
  <c r="P121" i="85"/>
  <c r="P120" i="85"/>
  <c r="R120" i="85" s="1"/>
  <c r="P118" i="85"/>
  <c r="R118" i="85" s="1"/>
  <c r="P117" i="85"/>
  <c r="R117" i="85" s="1"/>
  <c r="P116" i="85"/>
  <c r="R116" i="85" s="1"/>
  <c r="P115" i="85"/>
  <c r="P114" i="85"/>
  <c r="P113" i="85"/>
  <c r="R113" i="85" s="1"/>
  <c r="P112" i="85"/>
  <c r="P111" i="85"/>
  <c r="R111" i="85" s="1"/>
  <c r="P110" i="85"/>
  <c r="R110" i="85" s="1"/>
  <c r="P109" i="85"/>
  <c r="P108" i="85"/>
  <c r="R108" i="85" s="1"/>
  <c r="P107" i="85"/>
  <c r="R107" i="85" s="1"/>
  <c r="P106" i="85"/>
  <c r="R106" i="85" s="1"/>
  <c r="P105" i="85"/>
  <c r="P104" i="85"/>
  <c r="R104" i="85" s="1"/>
  <c r="P103" i="85"/>
  <c r="R103" i="85" s="1"/>
  <c r="P102" i="85"/>
  <c r="R102" i="85" s="1"/>
  <c r="P101" i="85"/>
  <c r="P100" i="85"/>
  <c r="R100" i="85" s="1"/>
  <c r="P99" i="85"/>
  <c r="P98" i="85"/>
  <c r="R98" i="85" s="1"/>
  <c r="P97" i="85"/>
  <c r="R97" i="85" s="1"/>
  <c r="P96" i="85"/>
  <c r="R96" i="85" s="1"/>
  <c r="P95" i="85"/>
  <c r="P94" i="85"/>
  <c r="R94" i="85" s="1"/>
  <c r="P93" i="85"/>
  <c r="R93" i="85" s="1"/>
  <c r="P92" i="85"/>
  <c r="P91" i="85"/>
  <c r="P90" i="85"/>
  <c r="P89" i="85"/>
  <c r="P88" i="85"/>
  <c r="P87" i="85"/>
  <c r="R87" i="85" s="1"/>
  <c r="P86" i="85"/>
  <c r="R86" i="85" s="1"/>
  <c r="P85" i="85"/>
  <c r="R85" i="85" s="1"/>
  <c r="P84" i="85"/>
  <c r="P83" i="85"/>
  <c r="P82" i="85"/>
  <c r="P81" i="85"/>
  <c r="P80" i="85"/>
  <c r="R80" i="85" s="1"/>
  <c r="P79" i="85"/>
  <c r="P78" i="85"/>
  <c r="P77" i="85"/>
  <c r="P76" i="85"/>
  <c r="P75" i="85"/>
  <c r="R75" i="85" s="1"/>
  <c r="P74" i="85"/>
  <c r="R74" i="85" s="1"/>
  <c r="P73" i="85"/>
  <c r="P72" i="85"/>
  <c r="R72" i="85" s="1"/>
  <c r="P71" i="85"/>
  <c r="P70" i="85"/>
  <c r="P69" i="85"/>
  <c r="P68" i="85"/>
  <c r="R68" i="85" s="1"/>
  <c r="P67" i="85"/>
  <c r="R67" i="85" s="1"/>
  <c r="P66" i="85"/>
  <c r="P65" i="85"/>
  <c r="R65" i="85" s="1"/>
  <c r="P64" i="85"/>
  <c r="R64" i="85" s="1"/>
  <c r="P63" i="85"/>
  <c r="R63" i="85" s="1"/>
  <c r="P62" i="85"/>
  <c r="R62" i="85" s="1"/>
  <c r="P61" i="85"/>
  <c r="P60" i="85"/>
  <c r="P59" i="85"/>
  <c r="P58" i="85"/>
  <c r="R58" i="85" s="1"/>
  <c r="P57" i="85"/>
  <c r="R57" i="85" s="1"/>
  <c r="P56" i="85"/>
  <c r="R56" i="85" s="1"/>
  <c r="P55" i="85"/>
  <c r="R55" i="85" s="1"/>
  <c r="P54" i="85"/>
  <c r="P53" i="85"/>
  <c r="P52" i="85"/>
  <c r="R52" i="85" s="1"/>
  <c r="P51" i="85"/>
  <c r="P50" i="85"/>
  <c r="P49" i="85"/>
  <c r="P48" i="85"/>
  <c r="P47" i="85"/>
  <c r="P46" i="85"/>
  <c r="P45" i="85"/>
  <c r="P44" i="85"/>
  <c r="P43" i="85"/>
  <c r="P42" i="85"/>
  <c r="P41" i="85"/>
  <c r="P40" i="85"/>
  <c r="P39" i="85"/>
  <c r="P38" i="85"/>
  <c r="P37" i="85"/>
  <c r="P36" i="85"/>
  <c r="P35" i="85"/>
  <c r="R35" i="85" s="1"/>
  <c r="P34" i="85"/>
  <c r="R34" i="85" s="1"/>
  <c r="P33" i="85"/>
  <c r="P32" i="85"/>
  <c r="P31" i="85"/>
  <c r="M26" i="85"/>
  <c r="L26" i="85"/>
  <c r="K26" i="85"/>
  <c r="J26" i="85"/>
  <c r="I26" i="85"/>
  <c r="H26" i="85"/>
  <c r="G26" i="85"/>
  <c r="F26" i="85"/>
  <c r="E26" i="85"/>
  <c r="D26" i="85"/>
  <c r="C25" i="85"/>
  <c r="C26" i="85" s="1"/>
  <c r="P24" i="85"/>
  <c r="R24" i="85" s="1"/>
  <c r="P23" i="85"/>
  <c r="P22" i="85"/>
  <c r="R22" i="85" s="1"/>
  <c r="P21" i="85"/>
  <c r="R21" i="85" s="1"/>
  <c r="P20" i="85"/>
  <c r="P19" i="85"/>
  <c r="R19" i="85" s="1"/>
  <c r="P18" i="85"/>
  <c r="P17" i="85"/>
  <c r="P16" i="85"/>
  <c r="P15" i="85"/>
  <c r="P14" i="85"/>
  <c r="P13" i="85"/>
  <c r="R13" i="85" s="1"/>
  <c r="P12" i="85"/>
  <c r="P11" i="85"/>
  <c r="P10" i="85"/>
  <c r="R49" i="85" l="1"/>
  <c r="R48" i="85"/>
  <c r="R33" i="85"/>
  <c r="R115" i="85"/>
  <c r="R91" i="85"/>
  <c r="R129" i="85"/>
  <c r="R88" i="85"/>
  <c r="R137" i="85"/>
  <c r="R66" i="85"/>
  <c r="R90" i="85"/>
  <c r="R12" i="85"/>
  <c r="R70" i="85"/>
  <c r="R10" i="85"/>
  <c r="R89" i="85"/>
  <c r="R31" i="85"/>
  <c r="R45" i="85"/>
  <c r="R69" i="85"/>
  <c r="R46" i="85"/>
  <c r="R47" i="85"/>
  <c r="R71" i="85"/>
  <c r="R130" i="85"/>
  <c r="P144" i="85"/>
  <c r="R32" i="85"/>
  <c r="R59" i="85"/>
  <c r="R139" i="85"/>
  <c r="R77" i="85"/>
  <c r="R95" i="85"/>
  <c r="R76" i="85"/>
  <c r="R99" i="85"/>
  <c r="R109" i="85"/>
  <c r="R119" i="85"/>
  <c r="R138" i="85"/>
  <c r="R36" i="85"/>
  <c r="R37" i="85"/>
  <c r="R38" i="85"/>
  <c r="R79" i="85"/>
  <c r="R140" i="85"/>
  <c r="R40" i="85"/>
  <c r="R42" i="85"/>
  <c r="R112" i="85"/>
  <c r="R73" i="85"/>
  <c r="R92" i="85"/>
  <c r="R78" i="85"/>
  <c r="R39" i="85"/>
  <c r="R15" i="85"/>
  <c r="R60" i="85"/>
  <c r="R41" i="85"/>
  <c r="R61" i="85"/>
  <c r="R81" i="85"/>
  <c r="R18" i="85"/>
  <c r="R84" i="85"/>
  <c r="R114" i="85"/>
  <c r="R136" i="85"/>
  <c r="R105" i="85"/>
  <c r="P25" i="85"/>
  <c r="R25" i="85" s="1"/>
  <c r="R101" i="85"/>
  <c r="P26" i="85" l="1"/>
  <c r="P145" i="85" s="1"/>
  <c r="Q20" i="81" l="1"/>
  <c r="Q18" i="81"/>
  <c r="Q15" i="81"/>
  <c r="Q12" i="81"/>
  <c r="Q10" i="81"/>
  <c r="P143" i="81" l="1"/>
  <c r="P142" i="81"/>
  <c r="P141" i="81"/>
  <c r="P140" i="81"/>
  <c r="P139" i="81"/>
  <c r="P138" i="81"/>
  <c r="P137" i="81"/>
  <c r="P136" i="81"/>
  <c r="P135" i="81"/>
  <c r="P134" i="81"/>
  <c r="P133" i="81"/>
  <c r="P132" i="81"/>
  <c r="P131" i="81"/>
  <c r="P130" i="81"/>
  <c r="P129" i="81"/>
  <c r="P128" i="81"/>
  <c r="P127" i="81"/>
  <c r="P126" i="81"/>
  <c r="P125" i="81"/>
  <c r="P124" i="81"/>
  <c r="P123" i="81"/>
  <c r="P122" i="81"/>
  <c r="P121" i="81"/>
  <c r="P120" i="81"/>
  <c r="P119" i="81"/>
  <c r="P118" i="81"/>
  <c r="P117" i="81"/>
  <c r="P116" i="81"/>
  <c r="P115" i="81"/>
  <c r="P114" i="81"/>
  <c r="P113" i="81"/>
  <c r="P112" i="81"/>
  <c r="P111" i="81"/>
  <c r="P110" i="81"/>
  <c r="P109" i="81"/>
  <c r="P108" i="81"/>
  <c r="P107" i="81"/>
  <c r="P106" i="81"/>
  <c r="P105" i="81"/>
  <c r="P104" i="81"/>
  <c r="P103" i="81"/>
  <c r="P102" i="81"/>
  <c r="P101" i="81"/>
  <c r="P100" i="81"/>
  <c r="P99" i="81"/>
  <c r="P98" i="81"/>
  <c r="P97" i="81"/>
  <c r="P96" i="81"/>
  <c r="P95" i="81"/>
  <c r="P94" i="81"/>
  <c r="P93" i="81"/>
  <c r="P92" i="81"/>
  <c r="P91" i="81"/>
  <c r="P90" i="81"/>
  <c r="P89" i="81"/>
  <c r="P88" i="81"/>
  <c r="P87" i="81"/>
  <c r="P86" i="81"/>
  <c r="P85" i="81"/>
  <c r="P84" i="81"/>
  <c r="P83" i="81"/>
  <c r="P82" i="81"/>
  <c r="P81" i="81"/>
  <c r="P80" i="81"/>
  <c r="P79" i="81"/>
  <c r="P78" i="81"/>
  <c r="P77" i="81"/>
  <c r="P76" i="81"/>
  <c r="P75" i="81"/>
  <c r="P74" i="81"/>
  <c r="P73" i="81"/>
  <c r="P72" i="81"/>
  <c r="P71" i="81"/>
  <c r="P70" i="81"/>
  <c r="P69" i="81"/>
  <c r="P68" i="81"/>
  <c r="P67" i="81"/>
  <c r="P66" i="81"/>
  <c r="P65" i="81"/>
  <c r="P64" i="81"/>
  <c r="P63" i="81"/>
  <c r="P62" i="81"/>
  <c r="P61" i="81"/>
  <c r="P60" i="81"/>
  <c r="P59" i="81"/>
  <c r="P58" i="81"/>
  <c r="P57" i="81"/>
  <c r="P56" i="81"/>
  <c r="P55" i="81"/>
  <c r="P54" i="81"/>
  <c r="P53" i="81"/>
  <c r="P52" i="81"/>
  <c r="P51" i="81"/>
  <c r="P50" i="81"/>
  <c r="P49" i="81"/>
  <c r="P48" i="81"/>
  <c r="P47" i="81"/>
  <c r="P46" i="81"/>
  <c r="P45" i="81"/>
  <c r="P44" i="81"/>
  <c r="P43" i="81"/>
  <c r="P42" i="81"/>
  <c r="P41" i="81"/>
  <c r="P40" i="81"/>
  <c r="P39" i="81"/>
  <c r="P38" i="81"/>
  <c r="P37" i="81"/>
  <c r="P36" i="81"/>
  <c r="P35" i="81"/>
  <c r="P34" i="81"/>
  <c r="P33" i="81"/>
  <c r="P32" i="81"/>
  <c r="P31" i="81"/>
  <c r="P24" i="81"/>
  <c r="P23" i="81"/>
  <c r="P22" i="81"/>
  <c r="P21" i="81"/>
  <c r="P20" i="81"/>
  <c r="P19" i="81"/>
  <c r="P18" i="81"/>
  <c r="P17" i="81"/>
  <c r="P16" i="81"/>
  <c r="P15" i="81"/>
  <c r="P14" i="81"/>
  <c r="P13" i="81"/>
  <c r="P12" i="81"/>
  <c r="P10" i="81"/>
  <c r="Q140" i="81"/>
  <c r="Q139" i="81"/>
  <c r="Q138" i="81"/>
  <c r="Q137" i="81"/>
  <c r="Q136" i="81"/>
  <c r="Q130" i="81"/>
  <c r="Q129" i="81"/>
  <c r="Q128" i="81"/>
  <c r="Q120" i="81"/>
  <c r="Q119" i="81"/>
  <c r="Q118" i="81"/>
  <c r="Q116" i="81"/>
  <c r="Q115" i="81"/>
  <c r="Q114" i="81"/>
  <c r="Q112" i="81"/>
  <c r="Q111" i="81"/>
  <c r="Q110" i="81"/>
  <c r="Q109" i="81"/>
  <c r="Q105" i="81"/>
  <c r="Q101" i="81"/>
  <c r="Q100" i="81"/>
  <c r="Q99" i="81"/>
  <c r="Q98" i="81"/>
  <c r="Q97" i="81"/>
  <c r="Q96" i="81"/>
  <c r="Q95" i="81"/>
  <c r="Q92" i="81"/>
  <c r="Q91" i="81"/>
  <c r="Q90" i="81"/>
  <c r="Q89" i="81"/>
  <c r="Q88" i="81"/>
  <c r="Q86" i="81"/>
  <c r="Q84" i="81"/>
  <c r="Q81" i="81"/>
  <c r="Q79" i="81"/>
  <c r="Q78" i="81"/>
  <c r="Q77" i="81"/>
  <c r="Q76" i="81"/>
  <c r="Q73" i="81"/>
  <c r="Q71" i="81"/>
  <c r="Q70" i="81"/>
  <c r="Q69" i="81"/>
  <c r="Q66" i="81"/>
  <c r="Q60" i="81"/>
  <c r="Q59" i="81"/>
  <c r="Q61" i="81"/>
  <c r="Q57" i="81"/>
  <c r="Q54" i="81"/>
  <c r="Q53" i="81"/>
  <c r="Q51" i="81"/>
  <c r="Q50" i="81"/>
  <c r="Q49" i="81"/>
  <c r="Q48" i="81"/>
  <c r="Q47" i="81"/>
  <c r="Q46" i="81"/>
  <c r="Q45" i="81"/>
  <c r="Q42" i="81"/>
  <c r="Q41" i="81"/>
  <c r="Q40" i="81"/>
  <c r="Q39" i="81"/>
  <c r="Q38" i="81"/>
  <c r="Q37" i="81"/>
  <c r="Q36" i="81"/>
  <c r="Q33" i="81"/>
  <c r="Q32" i="81"/>
  <c r="Q31" i="81"/>
  <c r="C168" i="81"/>
  <c r="C163" i="80" l="1"/>
  <c r="Q20" i="76" l="1"/>
  <c r="Q18" i="76"/>
  <c r="Q21" i="76" s="1"/>
  <c r="Q20" i="78"/>
  <c r="Q18" i="78"/>
  <c r="Q19" i="78" s="1"/>
  <c r="R27" i="79"/>
  <c r="R26" i="79"/>
  <c r="Q28" i="79"/>
  <c r="Q27" i="79"/>
  <c r="Q26" i="79"/>
  <c r="P19" i="78" l="1"/>
  <c r="R140" i="81" l="1"/>
  <c r="R139" i="81"/>
  <c r="R137" i="81"/>
  <c r="R136" i="81"/>
  <c r="R132" i="81"/>
  <c r="R131" i="81"/>
  <c r="R130" i="81"/>
  <c r="R129" i="81"/>
  <c r="R128" i="81"/>
  <c r="R127" i="81"/>
  <c r="R126" i="81"/>
  <c r="R125" i="81"/>
  <c r="R120" i="81"/>
  <c r="R117" i="81"/>
  <c r="R115" i="81"/>
  <c r="R114" i="81"/>
  <c r="R113" i="81"/>
  <c r="R111" i="81"/>
  <c r="R110" i="81"/>
  <c r="R109" i="81"/>
  <c r="R108" i="81"/>
  <c r="R107" i="81"/>
  <c r="R106" i="81"/>
  <c r="R105" i="81"/>
  <c r="R103" i="81"/>
  <c r="R102" i="81"/>
  <c r="R101" i="81"/>
  <c r="R100" i="81"/>
  <c r="R98" i="81"/>
  <c r="R97" i="81"/>
  <c r="R94" i="81"/>
  <c r="R93" i="81"/>
  <c r="R87" i="81"/>
  <c r="R85" i="81"/>
  <c r="R84" i="81"/>
  <c r="R143" i="81"/>
  <c r="R80" i="81"/>
  <c r="R79" i="81"/>
  <c r="R78" i="81"/>
  <c r="R75" i="81"/>
  <c r="R74" i="81"/>
  <c r="R72" i="81"/>
  <c r="R67" i="81"/>
  <c r="R66" i="81"/>
  <c r="R65" i="81"/>
  <c r="R64" i="81"/>
  <c r="R63" i="81"/>
  <c r="R62" i="81"/>
  <c r="R61" i="81"/>
  <c r="R59" i="81"/>
  <c r="R58" i="81"/>
  <c r="R57" i="81"/>
  <c r="R56" i="81"/>
  <c r="R55" i="81"/>
  <c r="R54" i="81"/>
  <c r="R52" i="81"/>
  <c r="R46" i="81"/>
  <c r="R42" i="81"/>
  <c r="R41" i="81"/>
  <c r="R40" i="81"/>
  <c r="R39" i="81"/>
  <c r="R38" i="81"/>
  <c r="R37" i="81"/>
  <c r="R36" i="81"/>
  <c r="R35" i="81"/>
  <c r="R34" i="81"/>
  <c r="R24" i="81"/>
  <c r="R22" i="81"/>
  <c r="R21" i="81"/>
  <c r="R19" i="81"/>
  <c r="R18" i="81"/>
  <c r="R15" i="81"/>
  <c r="R13" i="81"/>
  <c r="R99" i="81"/>
  <c r="M144" i="81"/>
  <c r="L144" i="81"/>
  <c r="M26" i="81"/>
  <c r="L26" i="81"/>
  <c r="C171" i="81"/>
  <c r="C156" i="81"/>
  <c r="K144" i="81"/>
  <c r="J144" i="81"/>
  <c r="I144" i="81"/>
  <c r="H144" i="81"/>
  <c r="G144" i="81"/>
  <c r="F144" i="81"/>
  <c r="E144" i="81"/>
  <c r="D144" i="81"/>
  <c r="C144" i="81"/>
  <c r="R104" i="81"/>
  <c r="R69" i="81"/>
  <c r="R68" i="81"/>
  <c r="K26" i="81"/>
  <c r="J26" i="81"/>
  <c r="I26" i="81"/>
  <c r="H26" i="81"/>
  <c r="G26" i="81"/>
  <c r="F26" i="81"/>
  <c r="E26" i="81"/>
  <c r="D26" i="81"/>
  <c r="C25" i="81"/>
  <c r="P11" i="81"/>
  <c r="C166" i="80"/>
  <c r="C26" i="81" l="1"/>
  <c r="P25" i="81"/>
  <c r="R88" i="81"/>
  <c r="R50" i="81"/>
  <c r="R76" i="81"/>
  <c r="R96" i="81"/>
  <c r="R86" i="81"/>
  <c r="R47" i="81"/>
  <c r="R60" i="81"/>
  <c r="P26" i="81"/>
  <c r="R77" i="81"/>
  <c r="R53" i="81"/>
  <c r="R70" i="81"/>
  <c r="R118" i="81"/>
  <c r="R12" i="81"/>
  <c r="R90" i="81"/>
  <c r="R138" i="81"/>
  <c r="R91" i="81"/>
  <c r="R33" i="81"/>
  <c r="R81" i="81"/>
  <c r="R92" i="81"/>
  <c r="R116" i="81"/>
  <c r="R20" i="81"/>
  <c r="R71" i="81"/>
  <c r="R49" i="81"/>
  <c r="R31" i="81"/>
  <c r="R73" i="81"/>
  <c r="R95" i="81"/>
  <c r="R32" i="81"/>
  <c r="R89" i="81"/>
  <c r="R112" i="81"/>
  <c r="R119" i="81"/>
  <c r="P144" i="81"/>
  <c r="R45" i="81"/>
  <c r="R10" i="81"/>
  <c r="Q26" i="81"/>
  <c r="R48" i="81"/>
  <c r="R51" i="81"/>
  <c r="Q144" i="81"/>
  <c r="S143" i="81" s="1"/>
  <c r="M139" i="80"/>
  <c r="M121" i="80"/>
  <c r="M120" i="80"/>
  <c r="M117" i="80"/>
  <c r="M116" i="80"/>
  <c r="M115" i="80"/>
  <c r="M101" i="80"/>
  <c r="M100" i="80"/>
  <c r="M98" i="80"/>
  <c r="M92" i="80"/>
  <c r="M90" i="80"/>
  <c r="M85" i="80"/>
  <c r="M81" i="80"/>
  <c r="M77" i="80"/>
  <c r="M73" i="80"/>
  <c r="M71" i="80"/>
  <c r="M70" i="80"/>
  <c r="M69" i="80"/>
  <c r="M60" i="80"/>
  <c r="M53" i="80"/>
  <c r="M52" i="80"/>
  <c r="M51" i="80"/>
  <c r="M50" i="80"/>
  <c r="M47" i="80"/>
  <c r="M46" i="80"/>
  <c r="M39" i="80"/>
  <c r="M38" i="80"/>
  <c r="M37" i="80"/>
  <c r="M36" i="80"/>
  <c r="M33" i="80"/>
  <c r="M32" i="80"/>
  <c r="M31" i="80"/>
  <c r="P145" i="81" l="1"/>
  <c r="R25" i="81"/>
  <c r="S77" i="81"/>
  <c r="S52" i="81"/>
  <c r="S56" i="81"/>
  <c r="S12" i="81"/>
  <c r="S99" i="81"/>
  <c r="S37" i="81"/>
  <c r="R26" i="81"/>
  <c r="S60" i="81"/>
  <c r="S81" i="81"/>
  <c r="S115" i="81"/>
  <c r="S97" i="81"/>
  <c r="S98" i="81"/>
  <c r="S15" i="81"/>
  <c r="R144" i="81"/>
  <c r="S138" i="81"/>
  <c r="S18" i="81"/>
  <c r="S20" i="81"/>
  <c r="S10" i="81"/>
  <c r="S86" i="81"/>
  <c r="S70" i="81"/>
  <c r="S38" i="81"/>
  <c r="S109" i="81"/>
  <c r="S45" i="81"/>
  <c r="S84" i="81"/>
  <c r="S49" i="81"/>
  <c r="S46" i="81"/>
  <c r="S50" i="81"/>
  <c r="S73" i="81"/>
  <c r="S33" i="81"/>
  <c r="S88" i="81"/>
  <c r="S100" i="81"/>
  <c r="S120" i="81"/>
  <c r="S116" i="81"/>
  <c r="S19" i="81"/>
  <c r="C157" i="81"/>
  <c r="S25" i="81"/>
  <c r="S24" i="81"/>
  <c r="S22" i="81"/>
  <c r="S13" i="81"/>
  <c r="S21" i="81"/>
  <c r="S119" i="81"/>
  <c r="S53" i="81"/>
  <c r="S47" i="81"/>
  <c r="S51" i="81"/>
  <c r="S91" i="81"/>
  <c r="S96" i="81"/>
  <c r="S112" i="81"/>
  <c r="S76" i="81"/>
  <c r="S89" i="81"/>
  <c r="S31" i="81"/>
  <c r="S132" i="81"/>
  <c r="S128" i="81"/>
  <c r="S117" i="81"/>
  <c r="S59" i="81"/>
  <c r="S41" i="81"/>
  <c r="S110" i="81"/>
  <c r="S74" i="81"/>
  <c r="S42" i="81"/>
  <c r="S131" i="81"/>
  <c r="S127" i="81"/>
  <c r="S113" i="81"/>
  <c r="S58" i="81"/>
  <c r="S105" i="81"/>
  <c r="S101" i="81"/>
  <c r="S61" i="81"/>
  <c r="C158" i="81"/>
  <c r="S126" i="81"/>
  <c r="S79" i="81"/>
  <c r="S40" i="81"/>
  <c r="S104" i="81"/>
  <c r="S72" i="81"/>
  <c r="S140" i="81"/>
  <c r="S136" i="81"/>
  <c r="S125" i="81"/>
  <c r="S111" i="81"/>
  <c r="S87" i="81"/>
  <c r="S78" i="81"/>
  <c r="S75" i="81"/>
  <c r="S39" i="81"/>
  <c r="S36" i="81"/>
  <c r="S114" i="81"/>
  <c r="S103" i="81"/>
  <c r="S71" i="81"/>
  <c r="S32" i="81"/>
  <c r="S106" i="81"/>
  <c r="S102" i="81"/>
  <c r="S67" i="81"/>
  <c r="S62" i="81"/>
  <c r="S54" i="81"/>
  <c r="S35" i="81"/>
  <c r="S80" i="81"/>
  <c r="S85" i="81"/>
  <c r="S137" i="81"/>
  <c r="S130" i="81"/>
  <c r="S57" i="81"/>
  <c r="S65" i="81"/>
  <c r="S129" i="81"/>
  <c r="S90" i="81"/>
  <c r="S107" i="81"/>
  <c r="S93" i="81"/>
  <c r="S68" i="81"/>
  <c r="S55" i="81"/>
  <c r="S108" i="81"/>
  <c r="S94" i="81"/>
  <c r="S48" i="81"/>
  <c r="S69" i="81"/>
  <c r="S95" i="81"/>
  <c r="S92" i="81"/>
  <c r="S118" i="81"/>
  <c r="M20" i="80"/>
  <c r="M18" i="80"/>
  <c r="M15" i="80"/>
  <c r="M12" i="80"/>
  <c r="M10" i="80"/>
  <c r="C169" i="80"/>
  <c r="C154" i="80"/>
  <c r="K142" i="80"/>
  <c r="J142" i="80"/>
  <c r="I142" i="80"/>
  <c r="H142" i="80"/>
  <c r="G142" i="80"/>
  <c r="F142" i="80"/>
  <c r="E142" i="80"/>
  <c r="D142" i="80"/>
  <c r="C142" i="80"/>
  <c r="L141" i="80"/>
  <c r="N141" i="80" s="1"/>
  <c r="L140" i="80"/>
  <c r="N140" i="80" s="1"/>
  <c r="L139" i="80"/>
  <c r="N139" i="80" s="1"/>
  <c r="L138" i="80"/>
  <c r="N138" i="80" s="1"/>
  <c r="L137" i="80"/>
  <c r="N137" i="80" s="1"/>
  <c r="L133" i="80"/>
  <c r="N133" i="80" s="1"/>
  <c r="L132" i="80"/>
  <c r="N132" i="80" s="1"/>
  <c r="L131" i="80"/>
  <c r="N131" i="80" s="1"/>
  <c r="L130" i="80"/>
  <c r="N130" i="80" s="1"/>
  <c r="L129" i="80"/>
  <c r="N129" i="80" s="1"/>
  <c r="L128" i="80"/>
  <c r="N128" i="80" s="1"/>
  <c r="L127" i="80"/>
  <c r="N127" i="80" s="1"/>
  <c r="L126" i="80"/>
  <c r="N126" i="80" s="1"/>
  <c r="L121" i="80"/>
  <c r="N121" i="80" s="1"/>
  <c r="L120" i="80"/>
  <c r="N120" i="80" s="1"/>
  <c r="M119" i="80"/>
  <c r="L119" i="80"/>
  <c r="N119" i="80" s="1"/>
  <c r="L118" i="80"/>
  <c r="N118" i="80" s="1"/>
  <c r="L117" i="80"/>
  <c r="N117" i="80" s="1"/>
  <c r="N116" i="80"/>
  <c r="L116" i="80"/>
  <c r="L115" i="80"/>
  <c r="N115" i="80" s="1"/>
  <c r="L114" i="80"/>
  <c r="N114" i="80" s="1"/>
  <c r="M113" i="80"/>
  <c r="L113" i="80"/>
  <c r="N113" i="80" s="1"/>
  <c r="L112" i="80"/>
  <c r="N112" i="80" s="1"/>
  <c r="L111" i="80"/>
  <c r="N111" i="80" s="1"/>
  <c r="M110" i="80"/>
  <c r="L110" i="80"/>
  <c r="N110" i="80" s="1"/>
  <c r="L109" i="80"/>
  <c r="N109" i="80" s="1"/>
  <c r="L108" i="80"/>
  <c r="N108" i="80" s="1"/>
  <c r="L107" i="80"/>
  <c r="N107" i="80" s="1"/>
  <c r="L106" i="80"/>
  <c r="N106" i="80" s="1"/>
  <c r="L105" i="80"/>
  <c r="N105" i="80" s="1"/>
  <c r="L104" i="80"/>
  <c r="N104" i="80" s="1"/>
  <c r="L103" i="80"/>
  <c r="N103" i="80" s="1"/>
  <c r="L102" i="80"/>
  <c r="N102" i="80" s="1"/>
  <c r="L101" i="80"/>
  <c r="N101" i="80" s="1"/>
  <c r="L100" i="80"/>
  <c r="N100" i="80" s="1"/>
  <c r="M99" i="80"/>
  <c r="N99" i="80" s="1"/>
  <c r="L99" i="80"/>
  <c r="L98" i="80"/>
  <c r="N98" i="80" s="1"/>
  <c r="M97" i="80"/>
  <c r="L97" i="80"/>
  <c r="N97" i="80" s="1"/>
  <c r="M96" i="80"/>
  <c r="L96" i="80"/>
  <c r="N96" i="80" s="1"/>
  <c r="L95" i="80"/>
  <c r="N95" i="80" s="1"/>
  <c r="L94" i="80"/>
  <c r="N94" i="80" s="1"/>
  <c r="M93" i="80"/>
  <c r="L93" i="80"/>
  <c r="L92" i="80"/>
  <c r="N92" i="80" s="1"/>
  <c r="M91" i="80"/>
  <c r="L91" i="80"/>
  <c r="N91" i="80" s="1"/>
  <c r="L90" i="80"/>
  <c r="N90" i="80" s="1"/>
  <c r="M89" i="80"/>
  <c r="L89" i="80"/>
  <c r="N89" i="80" s="1"/>
  <c r="L88" i="80"/>
  <c r="N88" i="80" s="1"/>
  <c r="M87" i="80"/>
  <c r="L87" i="80"/>
  <c r="N87" i="80" s="1"/>
  <c r="N86" i="80"/>
  <c r="L86" i="80"/>
  <c r="L85" i="80"/>
  <c r="N85" i="80" s="1"/>
  <c r="L81" i="80"/>
  <c r="N81" i="80" s="1"/>
  <c r="L80" i="80"/>
  <c r="N80" i="80" s="1"/>
  <c r="L79" i="80"/>
  <c r="N79" i="80" s="1"/>
  <c r="M78" i="80"/>
  <c r="L78" i="80"/>
  <c r="N78" i="80" s="1"/>
  <c r="L77" i="80"/>
  <c r="N77" i="80" s="1"/>
  <c r="M76" i="80"/>
  <c r="M142" i="80" s="1"/>
  <c r="L76" i="80"/>
  <c r="N76" i="80" s="1"/>
  <c r="L75" i="80"/>
  <c r="N75" i="80" s="1"/>
  <c r="L74" i="80"/>
  <c r="N74" i="80" s="1"/>
  <c r="L73" i="80"/>
  <c r="L72" i="80"/>
  <c r="N72" i="80" s="1"/>
  <c r="L71" i="80"/>
  <c r="N71" i="80" s="1"/>
  <c r="L70" i="80"/>
  <c r="N70" i="80" s="1"/>
  <c r="L69" i="80"/>
  <c r="N69" i="80" s="1"/>
  <c r="L68" i="80"/>
  <c r="N68" i="80" s="1"/>
  <c r="L67" i="80"/>
  <c r="N67" i="80" s="1"/>
  <c r="L66" i="80"/>
  <c r="N66" i="80" s="1"/>
  <c r="L65" i="80"/>
  <c r="N65" i="80" s="1"/>
  <c r="L64" i="80"/>
  <c r="N64" i="80" s="1"/>
  <c r="L63" i="80"/>
  <c r="N63" i="80" s="1"/>
  <c r="L62" i="80"/>
  <c r="N62" i="80" s="1"/>
  <c r="N61" i="80"/>
  <c r="L61" i="80"/>
  <c r="L60" i="80"/>
  <c r="N60" i="80" s="1"/>
  <c r="L59" i="80"/>
  <c r="N59" i="80" s="1"/>
  <c r="L58" i="80"/>
  <c r="N58" i="80" s="1"/>
  <c r="L57" i="80"/>
  <c r="N57" i="80" s="1"/>
  <c r="L56" i="80"/>
  <c r="N56" i="80" s="1"/>
  <c r="L55" i="80"/>
  <c r="N55" i="80" s="1"/>
  <c r="L54" i="80"/>
  <c r="N54" i="80" s="1"/>
  <c r="L53" i="80"/>
  <c r="N53" i="80" s="1"/>
  <c r="L52" i="80"/>
  <c r="N52" i="80" s="1"/>
  <c r="L51" i="80"/>
  <c r="N51" i="80" s="1"/>
  <c r="N50" i="80"/>
  <c r="L50" i="80"/>
  <c r="M49" i="80"/>
  <c r="L49" i="80"/>
  <c r="N49" i="80" s="1"/>
  <c r="M48" i="80"/>
  <c r="L48" i="80"/>
  <c r="N48" i="80" s="1"/>
  <c r="L47" i="80"/>
  <c r="L46" i="80"/>
  <c r="N46" i="80" s="1"/>
  <c r="L42" i="80"/>
  <c r="N42" i="80" s="1"/>
  <c r="L41" i="80"/>
  <c r="N41" i="80" s="1"/>
  <c r="L40" i="80"/>
  <c r="N40" i="80" s="1"/>
  <c r="L39" i="80"/>
  <c r="L38" i="80"/>
  <c r="N38" i="80" s="1"/>
  <c r="L37" i="80"/>
  <c r="N37" i="80" s="1"/>
  <c r="L36" i="80"/>
  <c r="L35" i="80"/>
  <c r="N35" i="80" s="1"/>
  <c r="L34" i="80"/>
  <c r="N34" i="80" s="1"/>
  <c r="L33" i="80"/>
  <c r="N33" i="80" s="1"/>
  <c r="L32" i="80"/>
  <c r="N32" i="80" s="1"/>
  <c r="L31" i="80"/>
  <c r="N31" i="80" s="1"/>
  <c r="K26" i="80"/>
  <c r="J26" i="80"/>
  <c r="I26" i="80"/>
  <c r="H26" i="80"/>
  <c r="G26" i="80"/>
  <c r="F26" i="80"/>
  <c r="E26" i="80"/>
  <c r="D26" i="80"/>
  <c r="C25" i="80"/>
  <c r="L25" i="80" s="1"/>
  <c r="N25" i="80" s="1"/>
  <c r="L24" i="80"/>
  <c r="N24" i="80" s="1"/>
  <c r="L22" i="80"/>
  <c r="N22" i="80" s="1"/>
  <c r="L21" i="80"/>
  <c r="N21" i="80" s="1"/>
  <c r="L20" i="80"/>
  <c r="L19" i="80"/>
  <c r="N19" i="80" s="1"/>
  <c r="L18" i="80"/>
  <c r="L15" i="80"/>
  <c r="L13" i="80"/>
  <c r="N13" i="80" s="1"/>
  <c r="L12" i="80"/>
  <c r="L11" i="80"/>
  <c r="L10" i="80"/>
  <c r="C163" i="79"/>
  <c r="C169" i="79" s="1"/>
  <c r="M52" i="79"/>
  <c r="N52" i="79" s="1"/>
  <c r="M100" i="79"/>
  <c r="M101" i="79"/>
  <c r="M120" i="79"/>
  <c r="M121" i="79"/>
  <c r="M139" i="79"/>
  <c r="M119" i="79"/>
  <c r="M117" i="79"/>
  <c r="M116" i="79"/>
  <c r="M115" i="79"/>
  <c r="M113" i="79"/>
  <c r="M110" i="79"/>
  <c r="M99" i="79"/>
  <c r="M98" i="79"/>
  <c r="M96" i="79"/>
  <c r="M93" i="79"/>
  <c r="M92" i="79"/>
  <c r="M91" i="79"/>
  <c r="M90" i="79"/>
  <c r="M87" i="79"/>
  <c r="M85" i="79"/>
  <c r="M81" i="79"/>
  <c r="M77" i="79"/>
  <c r="M73" i="79"/>
  <c r="M71" i="79"/>
  <c r="M70" i="79"/>
  <c r="M69" i="79"/>
  <c r="M53" i="79"/>
  <c r="M51" i="79"/>
  <c r="M50" i="79"/>
  <c r="M47" i="79"/>
  <c r="M46" i="79"/>
  <c r="M39" i="79"/>
  <c r="M38" i="79"/>
  <c r="M37" i="79"/>
  <c r="M36" i="79"/>
  <c r="M33" i="79"/>
  <c r="M32" i="79"/>
  <c r="M31" i="79"/>
  <c r="M20" i="79"/>
  <c r="M18" i="79"/>
  <c r="M15" i="79"/>
  <c r="M12" i="79"/>
  <c r="M10" i="79"/>
  <c r="C166" i="79"/>
  <c r="C154" i="79"/>
  <c r="K142" i="79"/>
  <c r="J142" i="79"/>
  <c r="I142" i="79"/>
  <c r="H142" i="79"/>
  <c r="G142" i="79"/>
  <c r="F142" i="79"/>
  <c r="E142" i="79"/>
  <c r="D142" i="79"/>
  <c r="C142" i="79"/>
  <c r="L141" i="79"/>
  <c r="N141" i="79" s="1"/>
  <c r="L140" i="79"/>
  <c r="N140" i="79" s="1"/>
  <c r="L139" i="79"/>
  <c r="N139" i="79" s="1"/>
  <c r="L138" i="79"/>
  <c r="N138" i="79" s="1"/>
  <c r="L137" i="79"/>
  <c r="N137" i="79" s="1"/>
  <c r="L133" i="79"/>
  <c r="N133" i="79" s="1"/>
  <c r="L132" i="79"/>
  <c r="N132" i="79" s="1"/>
  <c r="L131" i="79"/>
  <c r="N131" i="79" s="1"/>
  <c r="L130" i="79"/>
  <c r="N130" i="79" s="1"/>
  <c r="L129" i="79"/>
  <c r="N129" i="79" s="1"/>
  <c r="L128" i="79"/>
  <c r="N128" i="79" s="1"/>
  <c r="L127" i="79"/>
  <c r="N127" i="79" s="1"/>
  <c r="L126" i="79"/>
  <c r="N126" i="79" s="1"/>
  <c r="L121" i="79"/>
  <c r="N121" i="79" s="1"/>
  <c r="L120" i="79"/>
  <c r="L119" i="79"/>
  <c r="N119" i="79" s="1"/>
  <c r="L118" i="79"/>
  <c r="N118" i="79" s="1"/>
  <c r="L117" i="79"/>
  <c r="N117" i="79" s="1"/>
  <c r="L116" i="79"/>
  <c r="L115" i="79"/>
  <c r="L114" i="79"/>
  <c r="N114" i="79" s="1"/>
  <c r="L113" i="79"/>
  <c r="L112" i="79"/>
  <c r="N112" i="79" s="1"/>
  <c r="L111" i="79"/>
  <c r="N111" i="79" s="1"/>
  <c r="L110" i="79"/>
  <c r="L109" i="79"/>
  <c r="N109" i="79" s="1"/>
  <c r="L108" i="79"/>
  <c r="N108" i="79" s="1"/>
  <c r="L107" i="79"/>
  <c r="N107" i="79" s="1"/>
  <c r="L106" i="79"/>
  <c r="N106" i="79" s="1"/>
  <c r="L105" i="79"/>
  <c r="N105" i="79" s="1"/>
  <c r="L104" i="79"/>
  <c r="N104" i="79" s="1"/>
  <c r="L103" i="79"/>
  <c r="N103" i="79" s="1"/>
  <c r="L102" i="79"/>
  <c r="N102" i="79" s="1"/>
  <c r="L101" i="79"/>
  <c r="L100" i="79"/>
  <c r="L99" i="79"/>
  <c r="L98" i="79"/>
  <c r="N98" i="79" s="1"/>
  <c r="M97" i="79"/>
  <c r="L97" i="79"/>
  <c r="L96" i="79"/>
  <c r="N96" i="79" s="1"/>
  <c r="L95" i="79"/>
  <c r="N95" i="79" s="1"/>
  <c r="L94" i="79"/>
  <c r="N94" i="79" s="1"/>
  <c r="L93" i="79"/>
  <c r="L92" i="79"/>
  <c r="L91" i="79"/>
  <c r="L90" i="79"/>
  <c r="N90" i="79" s="1"/>
  <c r="M89" i="79"/>
  <c r="L89" i="79"/>
  <c r="N89" i="79" s="1"/>
  <c r="L88" i="79"/>
  <c r="N88" i="79" s="1"/>
  <c r="L87" i="79"/>
  <c r="N87" i="79" s="1"/>
  <c r="L86" i="79"/>
  <c r="N86" i="79" s="1"/>
  <c r="L85" i="79"/>
  <c r="L81" i="79"/>
  <c r="L80" i="79"/>
  <c r="N80" i="79" s="1"/>
  <c r="L79" i="79"/>
  <c r="N79" i="79" s="1"/>
  <c r="M78" i="79"/>
  <c r="L78" i="79"/>
  <c r="L77" i="79"/>
  <c r="M76" i="79"/>
  <c r="L76" i="79"/>
  <c r="L75" i="79"/>
  <c r="N75" i="79" s="1"/>
  <c r="L74" i="79"/>
  <c r="N74" i="79" s="1"/>
  <c r="L73" i="79"/>
  <c r="N73" i="79" s="1"/>
  <c r="L72" i="79"/>
  <c r="N72" i="79" s="1"/>
  <c r="L71" i="79"/>
  <c r="L70" i="79"/>
  <c r="N70" i="79" s="1"/>
  <c r="L69" i="79"/>
  <c r="L68" i="79"/>
  <c r="N68" i="79" s="1"/>
  <c r="L67" i="79"/>
  <c r="N67" i="79" s="1"/>
  <c r="L66" i="79"/>
  <c r="N66" i="79" s="1"/>
  <c r="L65" i="79"/>
  <c r="N65" i="79" s="1"/>
  <c r="L64" i="79"/>
  <c r="N64" i="79" s="1"/>
  <c r="L63" i="79"/>
  <c r="N63" i="79" s="1"/>
  <c r="L62" i="79"/>
  <c r="N62" i="79" s="1"/>
  <c r="L61" i="79"/>
  <c r="N61" i="79" s="1"/>
  <c r="L60" i="79"/>
  <c r="N60" i="79" s="1"/>
  <c r="L59" i="79"/>
  <c r="N59" i="79" s="1"/>
  <c r="L58" i="79"/>
  <c r="N58" i="79" s="1"/>
  <c r="L57" i="79"/>
  <c r="N57" i="79" s="1"/>
  <c r="L56" i="79"/>
  <c r="N56" i="79" s="1"/>
  <c r="L55" i="79"/>
  <c r="N55" i="79" s="1"/>
  <c r="L54" i="79"/>
  <c r="N54" i="79" s="1"/>
  <c r="L53" i="79"/>
  <c r="N53" i="79" s="1"/>
  <c r="L52" i="79"/>
  <c r="L51" i="79"/>
  <c r="N51" i="79" s="1"/>
  <c r="L50" i="79"/>
  <c r="N50" i="79" s="1"/>
  <c r="M49" i="79"/>
  <c r="L49" i="79"/>
  <c r="M48" i="79"/>
  <c r="L48" i="79"/>
  <c r="N48" i="79" s="1"/>
  <c r="L47" i="79"/>
  <c r="L46" i="79"/>
  <c r="L42" i="79"/>
  <c r="N42" i="79" s="1"/>
  <c r="L41" i="79"/>
  <c r="N41" i="79" s="1"/>
  <c r="L40" i="79"/>
  <c r="N40" i="79" s="1"/>
  <c r="L39" i="79"/>
  <c r="N39" i="79" s="1"/>
  <c r="L38" i="79"/>
  <c r="L37" i="79"/>
  <c r="L36" i="79"/>
  <c r="L35" i="79"/>
  <c r="N35" i="79" s="1"/>
  <c r="L34" i="79"/>
  <c r="N34" i="79" s="1"/>
  <c r="L33" i="79"/>
  <c r="L32" i="79"/>
  <c r="L31" i="79"/>
  <c r="K26" i="79"/>
  <c r="J26" i="79"/>
  <c r="I26" i="79"/>
  <c r="H26" i="79"/>
  <c r="G26" i="79"/>
  <c r="F26" i="79"/>
  <c r="E26" i="79"/>
  <c r="D26" i="79"/>
  <c r="C25" i="79"/>
  <c r="C26" i="79" s="1"/>
  <c r="L24" i="79"/>
  <c r="N24" i="79" s="1"/>
  <c r="L22" i="79"/>
  <c r="N22" i="79" s="1"/>
  <c r="L21" i="79"/>
  <c r="N21" i="79" s="1"/>
  <c r="L20" i="79"/>
  <c r="L19" i="79"/>
  <c r="N19" i="79" s="1"/>
  <c r="L18" i="79"/>
  <c r="N18" i="79" s="1"/>
  <c r="L15" i="79"/>
  <c r="L13" i="79"/>
  <c r="N13" i="79" s="1"/>
  <c r="L12" i="79"/>
  <c r="L11" i="79"/>
  <c r="L10" i="79"/>
  <c r="C163" i="78"/>
  <c r="M20" i="78"/>
  <c r="C166" i="78"/>
  <c r="C159" i="81" l="1"/>
  <c r="L25" i="79"/>
  <c r="N25" i="79" s="1"/>
  <c r="N71" i="79"/>
  <c r="N93" i="80"/>
  <c r="C26" i="80"/>
  <c r="L26" i="79"/>
  <c r="N77" i="79"/>
  <c r="N113" i="79"/>
  <c r="N37" i="79"/>
  <c r="N100" i="79"/>
  <c r="N78" i="79"/>
  <c r="N110" i="79"/>
  <c r="N46" i="79"/>
  <c r="N115" i="79"/>
  <c r="N99" i="79"/>
  <c r="N69" i="79"/>
  <c r="N116" i="79"/>
  <c r="N49" i="79"/>
  <c r="L142" i="80"/>
  <c r="N91" i="79"/>
  <c r="N36" i="79"/>
  <c r="L26" i="80"/>
  <c r="N20" i="80"/>
  <c r="N73" i="80"/>
  <c r="N18" i="80"/>
  <c r="N15" i="80"/>
  <c r="M26" i="80"/>
  <c r="N12" i="80"/>
  <c r="O18" i="80"/>
  <c r="N10" i="80"/>
  <c r="O81" i="80"/>
  <c r="O32" i="80"/>
  <c r="O77" i="80"/>
  <c r="O117" i="80"/>
  <c r="O133" i="80"/>
  <c r="O129" i="80"/>
  <c r="O118" i="80"/>
  <c r="O42" i="80"/>
  <c r="O111" i="80"/>
  <c r="O67" i="80"/>
  <c r="O86" i="80"/>
  <c r="O37" i="80"/>
  <c r="O80" i="80"/>
  <c r="O57" i="80"/>
  <c r="O102" i="80"/>
  <c r="O132" i="80"/>
  <c r="O128" i="80"/>
  <c r="O114" i="80"/>
  <c r="O106" i="80"/>
  <c r="C156" i="80"/>
  <c r="O138" i="80"/>
  <c r="O131" i="80"/>
  <c r="O127" i="80"/>
  <c r="O113" i="80"/>
  <c r="O92" i="80"/>
  <c r="O89" i="80"/>
  <c r="O76" i="80"/>
  <c r="O33" i="80"/>
  <c r="O79" i="80"/>
  <c r="O65" i="80"/>
  <c r="O119" i="80"/>
  <c r="O109" i="80"/>
  <c r="O105" i="80"/>
  <c r="O101" i="80"/>
  <c r="O98" i="80"/>
  <c r="O95" i="80"/>
  <c r="O85" i="80"/>
  <c r="O72" i="80"/>
  <c r="O60" i="80"/>
  <c r="O52" i="80"/>
  <c r="O49" i="80"/>
  <c r="O46" i="80"/>
  <c r="O141" i="80"/>
  <c r="O137" i="80"/>
  <c r="O130" i="80"/>
  <c r="O126" i="80"/>
  <c r="O74" i="80"/>
  <c r="O54" i="80"/>
  <c r="O35" i="80"/>
  <c r="O58" i="80"/>
  <c r="O41" i="80"/>
  <c r="O40" i="80"/>
  <c r="O112" i="80"/>
  <c r="O91" i="80"/>
  <c r="O88" i="80"/>
  <c r="O78" i="80"/>
  <c r="O75" i="80"/>
  <c r="O55" i="80"/>
  <c r="O103" i="80"/>
  <c r="O120" i="80"/>
  <c r="O108" i="80"/>
  <c r="O104" i="80"/>
  <c r="O94" i="80"/>
  <c r="O68" i="80"/>
  <c r="O59" i="80"/>
  <c r="O107" i="80"/>
  <c r="O62" i="80"/>
  <c r="O61" i="80"/>
  <c r="O115" i="80"/>
  <c r="O121" i="80"/>
  <c r="O116" i="80"/>
  <c r="O51" i="80"/>
  <c r="O87" i="80"/>
  <c r="O93" i="80"/>
  <c r="O99" i="80"/>
  <c r="O48" i="80"/>
  <c r="O70" i="80"/>
  <c r="O97" i="80"/>
  <c r="O110" i="80"/>
  <c r="O71" i="80"/>
  <c r="O36" i="80"/>
  <c r="O73" i="80"/>
  <c r="O96" i="80"/>
  <c r="O38" i="80"/>
  <c r="O90" i="80"/>
  <c r="O139" i="80"/>
  <c r="O39" i="80"/>
  <c r="O47" i="80"/>
  <c r="O100" i="80"/>
  <c r="O69" i="80"/>
  <c r="O50" i="80"/>
  <c r="O53" i="80"/>
  <c r="O31" i="80"/>
  <c r="N36" i="80"/>
  <c r="N39" i="80"/>
  <c r="N47" i="80"/>
  <c r="N120" i="79"/>
  <c r="N101" i="79"/>
  <c r="N93" i="79"/>
  <c r="N92" i="79"/>
  <c r="N81" i="79"/>
  <c r="N47" i="79"/>
  <c r="M142" i="79"/>
  <c r="O138" i="79" s="1"/>
  <c r="N32" i="79"/>
  <c r="N31" i="79"/>
  <c r="M26" i="79"/>
  <c r="O20" i="79" s="1"/>
  <c r="O15" i="79"/>
  <c r="O19" i="79"/>
  <c r="O24" i="79"/>
  <c r="C155" i="79"/>
  <c r="O22" i="79"/>
  <c r="O18" i="79"/>
  <c r="O25" i="79"/>
  <c r="N20" i="79"/>
  <c r="N15" i="79"/>
  <c r="L142" i="79"/>
  <c r="N33" i="79"/>
  <c r="N76" i="79"/>
  <c r="N12" i="79"/>
  <c r="N38" i="79"/>
  <c r="N97" i="79"/>
  <c r="N10" i="79"/>
  <c r="O10" i="79"/>
  <c r="N85" i="79"/>
  <c r="M90" i="78"/>
  <c r="M121" i="78"/>
  <c r="M119" i="78"/>
  <c r="M116" i="78"/>
  <c r="M115" i="78"/>
  <c r="M101" i="78"/>
  <c r="M98" i="78"/>
  <c r="M96" i="78"/>
  <c r="M92" i="78"/>
  <c r="M91" i="78"/>
  <c r="M89" i="78"/>
  <c r="M85" i="78"/>
  <c r="M81" i="78"/>
  <c r="M78" i="78"/>
  <c r="M77" i="78"/>
  <c r="M76" i="78"/>
  <c r="M73" i="78"/>
  <c r="M71" i="78"/>
  <c r="M70" i="78"/>
  <c r="M69" i="78"/>
  <c r="M53" i="78"/>
  <c r="M52" i="78"/>
  <c r="M51" i="78"/>
  <c r="M50" i="78"/>
  <c r="M49" i="78"/>
  <c r="M47" i="78"/>
  <c r="M46" i="78"/>
  <c r="M39" i="78"/>
  <c r="M38" i="78"/>
  <c r="M37" i="78"/>
  <c r="M36" i="78"/>
  <c r="M33" i="78"/>
  <c r="M32" i="78"/>
  <c r="M31" i="78"/>
  <c r="M26" i="78"/>
  <c r="M18" i="78"/>
  <c r="M15" i="78"/>
  <c r="M12" i="78"/>
  <c r="M10" i="78"/>
  <c r="C176" i="81" l="1"/>
  <c r="C174" i="81"/>
  <c r="O13" i="79"/>
  <c r="O12" i="79"/>
  <c r="N26" i="80"/>
  <c r="O21" i="79"/>
  <c r="O10" i="80"/>
  <c r="C155" i="80"/>
  <c r="C157" i="80" s="1"/>
  <c r="C174" i="80" s="1"/>
  <c r="N142" i="80"/>
  <c r="O19" i="80"/>
  <c r="O13" i="80"/>
  <c r="O24" i="80"/>
  <c r="O12" i="80"/>
  <c r="O22" i="80"/>
  <c r="O15" i="80"/>
  <c r="O25" i="80"/>
  <c r="O21" i="80"/>
  <c r="O20" i="80"/>
  <c r="N142" i="79"/>
  <c r="O52" i="79"/>
  <c r="O128" i="79"/>
  <c r="O114" i="79"/>
  <c r="O101" i="79"/>
  <c r="O98" i="79"/>
  <c r="O113" i="79"/>
  <c r="O76" i="79"/>
  <c r="O86" i="79"/>
  <c r="O132" i="79"/>
  <c r="O80" i="79"/>
  <c r="O120" i="79"/>
  <c r="O88" i="79"/>
  <c r="O33" i="79"/>
  <c r="O61" i="79"/>
  <c r="O118" i="79"/>
  <c r="O79" i="79"/>
  <c r="O65" i="79"/>
  <c r="O31" i="79"/>
  <c r="O72" i="79"/>
  <c r="O85" i="79"/>
  <c r="O58" i="79"/>
  <c r="O40" i="79"/>
  <c r="O53" i="79"/>
  <c r="O62" i="79"/>
  <c r="O81" i="79"/>
  <c r="O59" i="79"/>
  <c r="O121" i="79"/>
  <c r="O67" i="79"/>
  <c r="O94" i="79"/>
  <c r="O91" i="79"/>
  <c r="O96" i="79"/>
  <c r="O119" i="79"/>
  <c r="O77" i="79"/>
  <c r="O112" i="79"/>
  <c r="O46" i="79"/>
  <c r="O117" i="79"/>
  <c r="O37" i="79"/>
  <c r="O87" i="79"/>
  <c r="O105" i="79"/>
  <c r="O73" i="79"/>
  <c r="O70" i="79"/>
  <c r="O100" i="79"/>
  <c r="O108" i="79"/>
  <c r="O60" i="79"/>
  <c r="O38" i="79"/>
  <c r="O55" i="79"/>
  <c r="O92" i="79"/>
  <c r="O115" i="79"/>
  <c r="O126" i="79"/>
  <c r="O89" i="79"/>
  <c r="O127" i="79"/>
  <c r="O50" i="79"/>
  <c r="O116" i="79"/>
  <c r="O111" i="79"/>
  <c r="O75" i="79"/>
  <c r="O137" i="79"/>
  <c r="O139" i="79"/>
  <c r="O95" i="79"/>
  <c r="O93" i="79"/>
  <c r="O32" i="79"/>
  <c r="O99" i="79"/>
  <c r="O42" i="79"/>
  <c r="O49" i="79"/>
  <c r="O102" i="79"/>
  <c r="O48" i="79"/>
  <c r="O57" i="79"/>
  <c r="O51" i="79"/>
  <c r="O103" i="79"/>
  <c r="O35" i="79"/>
  <c r="O97" i="79"/>
  <c r="O107" i="79"/>
  <c r="O54" i="79"/>
  <c r="O68" i="79"/>
  <c r="O47" i="79"/>
  <c r="O129" i="79"/>
  <c r="O74" i="79"/>
  <c r="O90" i="79"/>
  <c r="O133" i="79"/>
  <c r="O104" i="79"/>
  <c r="C156" i="79"/>
  <c r="O110" i="79"/>
  <c r="O69" i="79"/>
  <c r="O109" i="79"/>
  <c r="O71" i="79"/>
  <c r="O78" i="79"/>
  <c r="O41" i="79"/>
  <c r="O141" i="79"/>
  <c r="O130" i="79"/>
  <c r="O106" i="79"/>
  <c r="O131" i="79"/>
  <c r="O39" i="79"/>
  <c r="O36" i="79"/>
  <c r="C157" i="79"/>
  <c r="C172" i="79" s="1"/>
  <c r="N26" i="79"/>
  <c r="C169" i="78"/>
  <c r="C154" i="78"/>
  <c r="K142" i="78"/>
  <c r="J142" i="78"/>
  <c r="I142" i="78"/>
  <c r="H142" i="78"/>
  <c r="G142" i="78"/>
  <c r="F142" i="78"/>
  <c r="E142" i="78"/>
  <c r="D142" i="78"/>
  <c r="C142" i="78"/>
  <c r="L141" i="78"/>
  <c r="N141" i="78" s="1"/>
  <c r="L140" i="78"/>
  <c r="N140" i="78" s="1"/>
  <c r="L139" i="78"/>
  <c r="N139" i="78" s="1"/>
  <c r="L138" i="78"/>
  <c r="N138" i="78" s="1"/>
  <c r="L137" i="78"/>
  <c r="N137" i="78" s="1"/>
  <c r="L133" i="78"/>
  <c r="N133" i="78" s="1"/>
  <c r="L132" i="78"/>
  <c r="N132" i="78" s="1"/>
  <c r="L131" i="78"/>
  <c r="N131" i="78" s="1"/>
  <c r="L130" i="78"/>
  <c r="N130" i="78" s="1"/>
  <c r="L129" i="78"/>
  <c r="N129" i="78" s="1"/>
  <c r="L128" i="78"/>
  <c r="N128" i="78" s="1"/>
  <c r="L127" i="78"/>
  <c r="N127" i="78" s="1"/>
  <c r="L126" i="78"/>
  <c r="N126" i="78" s="1"/>
  <c r="L121" i="78"/>
  <c r="N121" i="78" s="1"/>
  <c r="L120" i="78"/>
  <c r="N120" i="78" s="1"/>
  <c r="N119" i="78"/>
  <c r="L119" i="78"/>
  <c r="L118" i="78"/>
  <c r="N118" i="78" s="1"/>
  <c r="M117" i="78"/>
  <c r="L117" i="78"/>
  <c r="N117" i="78" s="1"/>
  <c r="L116" i="78"/>
  <c r="N116" i="78" s="1"/>
  <c r="L115" i="78"/>
  <c r="N115" i="78" s="1"/>
  <c r="L114" i="78"/>
  <c r="N114" i="78" s="1"/>
  <c r="L113" i="78"/>
  <c r="N113" i="78" s="1"/>
  <c r="N112" i="78"/>
  <c r="L112" i="78"/>
  <c r="N111" i="78"/>
  <c r="L111" i="78"/>
  <c r="M110" i="78"/>
  <c r="L110" i="78"/>
  <c r="N110" i="78" s="1"/>
  <c r="L109" i="78"/>
  <c r="N109" i="78" s="1"/>
  <c r="L108" i="78"/>
  <c r="N108" i="78" s="1"/>
  <c r="L107" i="78"/>
  <c r="N107" i="78" s="1"/>
  <c r="L106" i="78"/>
  <c r="N106" i="78" s="1"/>
  <c r="L105" i="78"/>
  <c r="N105" i="78" s="1"/>
  <c r="L104" i="78"/>
  <c r="N104" i="78" s="1"/>
  <c r="N103" i="78"/>
  <c r="L103" i="78"/>
  <c r="L102" i="78"/>
  <c r="N102" i="78" s="1"/>
  <c r="L101" i="78"/>
  <c r="N101" i="78" s="1"/>
  <c r="M100" i="78"/>
  <c r="L100" i="78"/>
  <c r="N100" i="78" s="1"/>
  <c r="L99" i="78"/>
  <c r="N99" i="78" s="1"/>
  <c r="L98" i="78"/>
  <c r="N98" i="78" s="1"/>
  <c r="M97" i="78"/>
  <c r="L97" i="78"/>
  <c r="N97" i="78" s="1"/>
  <c r="L96" i="78"/>
  <c r="N96" i="78" s="1"/>
  <c r="L95" i="78"/>
  <c r="N95" i="78" s="1"/>
  <c r="L94" i="78"/>
  <c r="N94" i="78" s="1"/>
  <c r="M93" i="78"/>
  <c r="L93" i="78"/>
  <c r="N93" i="78" s="1"/>
  <c r="L92" i="78"/>
  <c r="N92" i="78" s="1"/>
  <c r="L91" i="78"/>
  <c r="L90" i="78"/>
  <c r="N90" i="78" s="1"/>
  <c r="N89" i="78"/>
  <c r="L89" i="78"/>
  <c r="L88" i="78"/>
  <c r="N88" i="78" s="1"/>
  <c r="L87" i="78"/>
  <c r="N87" i="78" s="1"/>
  <c r="L86" i="78"/>
  <c r="N86" i="78" s="1"/>
  <c r="L85" i="78"/>
  <c r="N85" i="78" s="1"/>
  <c r="L81" i="78"/>
  <c r="N81" i="78" s="1"/>
  <c r="L80" i="78"/>
  <c r="N80" i="78" s="1"/>
  <c r="L79" i="78"/>
  <c r="N79" i="78" s="1"/>
  <c r="L78" i="78"/>
  <c r="N78" i="78" s="1"/>
  <c r="L77" i="78"/>
  <c r="N77" i="78" s="1"/>
  <c r="L76" i="78"/>
  <c r="N76" i="78" s="1"/>
  <c r="L75" i="78"/>
  <c r="N75" i="78" s="1"/>
  <c r="L74" i="78"/>
  <c r="N74" i="78" s="1"/>
  <c r="L73" i="78"/>
  <c r="N73" i="78" s="1"/>
  <c r="L72" i="78"/>
  <c r="N72" i="78" s="1"/>
  <c r="L71" i="78"/>
  <c r="N71" i="78" s="1"/>
  <c r="L70" i="78"/>
  <c r="N70" i="78" s="1"/>
  <c r="L69" i="78"/>
  <c r="N69" i="78" s="1"/>
  <c r="L68" i="78"/>
  <c r="N68" i="78" s="1"/>
  <c r="L67" i="78"/>
  <c r="N67" i="78" s="1"/>
  <c r="L66" i="78"/>
  <c r="N66" i="78" s="1"/>
  <c r="L65" i="78"/>
  <c r="N65" i="78" s="1"/>
  <c r="L64" i="78"/>
  <c r="N64" i="78" s="1"/>
  <c r="L63" i="78"/>
  <c r="N63" i="78" s="1"/>
  <c r="L62" i="78"/>
  <c r="N62" i="78" s="1"/>
  <c r="L61" i="78"/>
  <c r="N61" i="78" s="1"/>
  <c r="L60" i="78"/>
  <c r="N60" i="78" s="1"/>
  <c r="L59" i="78"/>
  <c r="N59" i="78" s="1"/>
  <c r="L58" i="78"/>
  <c r="N58" i="78" s="1"/>
  <c r="L57" i="78"/>
  <c r="N57" i="78" s="1"/>
  <c r="L56" i="78"/>
  <c r="N56" i="78" s="1"/>
  <c r="L55" i="78"/>
  <c r="N55" i="78" s="1"/>
  <c r="L54" i="78"/>
  <c r="N54" i="78" s="1"/>
  <c r="L53" i="78"/>
  <c r="N53" i="78" s="1"/>
  <c r="L52" i="78"/>
  <c r="N52" i="78" s="1"/>
  <c r="L51" i="78"/>
  <c r="N51" i="78" s="1"/>
  <c r="L50" i="78"/>
  <c r="N50" i="78" s="1"/>
  <c r="L49" i="78"/>
  <c r="N49" i="78" s="1"/>
  <c r="M48" i="78"/>
  <c r="L48" i="78"/>
  <c r="N48" i="78" s="1"/>
  <c r="N47" i="78"/>
  <c r="L47" i="78"/>
  <c r="L46" i="78"/>
  <c r="N46" i="78" s="1"/>
  <c r="L42" i="78"/>
  <c r="N42" i="78" s="1"/>
  <c r="L41" i="78"/>
  <c r="N41" i="78" s="1"/>
  <c r="L40" i="78"/>
  <c r="N40" i="78" s="1"/>
  <c r="L39" i="78"/>
  <c r="N39" i="78" s="1"/>
  <c r="L38" i="78"/>
  <c r="N38" i="78" s="1"/>
  <c r="L37" i="78"/>
  <c r="N37" i="78" s="1"/>
  <c r="L36" i="78"/>
  <c r="N36" i="78" s="1"/>
  <c r="L35" i="78"/>
  <c r="N35" i="78" s="1"/>
  <c r="L34" i="78"/>
  <c r="N34" i="78" s="1"/>
  <c r="L33" i="78"/>
  <c r="N33" i="78" s="1"/>
  <c r="L32" i="78"/>
  <c r="N32" i="78" s="1"/>
  <c r="L31" i="78"/>
  <c r="K26" i="78"/>
  <c r="J26" i="78"/>
  <c r="I26" i="78"/>
  <c r="H26" i="78"/>
  <c r="G26" i="78"/>
  <c r="F26" i="78"/>
  <c r="E26" i="78"/>
  <c r="D26" i="78"/>
  <c r="C26" i="78"/>
  <c r="C25" i="78"/>
  <c r="L25" i="78" s="1"/>
  <c r="N25" i="78" s="1"/>
  <c r="N24" i="78"/>
  <c r="L24" i="78"/>
  <c r="L22" i="78"/>
  <c r="N22" i="78" s="1"/>
  <c r="N21" i="78"/>
  <c r="L21" i="78"/>
  <c r="L20" i="78"/>
  <c r="L19" i="78"/>
  <c r="N19" i="78" s="1"/>
  <c r="L18" i="78"/>
  <c r="N18" i="78" s="1"/>
  <c r="L15" i="78"/>
  <c r="N15" i="78" s="1"/>
  <c r="N13" i="78"/>
  <c r="L13" i="78"/>
  <c r="L12" i="78"/>
  <c r="N12" i="78" s="1"/>
  <c r="L11" i="78"/>
  <c r="L10" i="78"/>
  <c r="N10" i="78" s="1"/>
  <c r="C163" i="77"/>
  <c r="M47" i="77"/>
  <c r="L142" i="78" l="1"/>
  <c r="C172" i="80"/>
  <c r="C174" i="79"/>
  <c r="O15" i="78"/>
  <c r="O18" i="78"/>
  <c r="O20" i="78"/>
  <c r="O24" i="78"/>
  <c r="O13" i="78"/>
  <c r="O22" i="78"/>
  <c r="O12" i="78"/>
  <c r="O21" i="78"/>
  <c r="C155" i="78"/>
  <c r="O25" i="78"/>
  <c r="O10" i="78"/>
  <c r="O19" i="78"/>
  <c r="N20" i="78"/>
  <c r="N26" i="78" s="1"/>
  <c r="M142" i="78"/>
  <c r="O96" i="78" s="1"/>
  <c r="L26" i="78"/>
  <c r="N91" i="78"/>
  <c r="N31" i="78"/>
  <c r="N142" i="78" s="1"/>
  <c r="M85" i="77"/>
  <c r="M53" i="77"/>
  <c r="C165" i="77"/>
  <c r="O89" i="78" l="1"/>
  <c r="O71" i="78"/>
  <c r="O110" i="78"/>
  <c r="O52" i="78"/>
  <c r="O81" i="78"/>
  <c r="O115" i="78"/>
  <c r="O48" i="78"/>
  <c r="O51" i="78"/>
  <c r="O101" i="78"/>
  <c r="O39" i="78"/>
  <c r="O121" i="78"/>
  <c r="O100" i="78"/>
  <c r="O73" i="78"/>
  <c r="O117" i="78"/>
  <c r="O133" i="78"/>
  <c r="O129" i="78"/>
  <c r="O76" i="78"/>
  <c r="O69" i="78"/>
  <c r="O60" i="78"/>
  <c r="O49" i="78"/>
  <c r="O97" i="78"/>
  <c r="O114" i="78"/>
  <c r="O99" i="78"/>
  <c r="O79" i="78"/>
  <c r="O72" i="78"/>
  <c r="O106" i="78"/>
  <c r="O92" i="78"/>
  <c r="O139" i="78"/>
  <c r="O132" i="78"/>
  <c r="O128" i="78"/>
  <c r="O75" i="78"/>
  <c r="O68" i="78"/>
  <c r="O59" i="78"/>
  <c r="O42" i="78"/>
  <c r="O47" i="78"/>
  <c r="O70" i="78"/>
  <c r="O53" i="78"/>
  <c r="O120" i="78"/>
  <c r="O113" i="78"/>
  <c r="O95" i="78"/>
  <c r="O35" i="78"/>
  <c r="O41" i="78"/>
  <c r="O87" i="78"/>
  <c r="O50" i="78"/>
  <c r="O109" i="78"/>
  <c r="O105" i="78"/>
  <c r="O88" i="78"/>
  <c r="O54" i="78"/>
  <c r="O112" i="78"/>
  <c r="O94" i="78"/>
  <c r="O77" i="78"/>
  <c r="O37" i="78"/>
  <c r="O138" i="78"/>
  <c r="O131" i="78"/>
  <c r="O127" i="78"/>
  <c r="O74" i="78"/>
  <c r="O67" i="78"/>
  <c r="O62" i="78"/>
  <c r="O58" i="78"/>
  <c r="O119" i="78"/>
  <c r="C156" i="78"/>
  <c r="C157" i="78" s="1"/>
  <c r="O137" i="78"/>
  <c r="O130" i="78"/>
  <c r="O126" i="78"/>
  <c r="O61" i="78"/>
  <c r="O57" i="78"/>
  <c r="O40" i="78"/>
  <c r="O46" i="78"/>
  <c r="O85" i="78"/>
  <c r="O108" i="78"/>
  <c r="O141" i="78"/>
  <c r="O118" i="78"/>
  <c r="O111" i="78"/>
  <c r="O90" i="78"/>
  <c r="O80" i="78"/>
  <c r="O104" i="78"/>
  <c r="O107" i="78"/>
  <c r="O103" i="78"/>
  <c r="O86" i="78"/>
  <c r="O65" i="78"/>
  <c r="O102" i="78"/>
  <c r="O55" i="78"/>
  <c r="O33" i="78"/>
  <c r="O32" i="78"/>
  <c r="O36" i="78"/>
  <c r="O38" i="78"/>
  <c r="O93" i="78"/>
  <c r="O78" i="78"/>
  <c r="O91" i="78"/>
  <c r="O116" i="78"/>
  <c r="O98" i="78"/>
  <c r="O31" i="78"/>
  <c r="M121" i="77"/>
  <c r="M116" i="77"/>
  <c r="M115" i="77"/>
  <c r="M101" i="77"/>
  <c r="M98" i="77"/>
  <c r="M96" i="77"/>
  <c r="M93" i="77"/>
  <c r="M92" i="77"/>
  <c r="M91" i="77"/>
  <c r="M81" i="77"/>
  <c r="M78" i="77"/>
  <c r="M77" i="77"/>
  <c r="M73" i="77"/>
  <c r="M71" i="77"/>
  <c r="M70" i="77"/>
  <c r="M52" i="77"/>
  <c r="M51" i="77"/>
  <c r="M50" i="77"/>
  <c r="M46" i="77"/>
  <c r="M39" i="77"/>
  <c r="M38" i="77"/>
  <c r="M37" i="77"/>
  <c r="M36" i="77"/>
  <c r="M33" i="77"/>
  <c r="M32" i="77"/>
  <c r="M31" i="77"/>
  <c r="M20" i="77"/>
  <c r="M18" i="77"/>
  <c r="M15" i="77"/>
  <c r="M10" i="77"/>
  <c r="C166" i="77"/>
  <c r="C169" i="77"/>
  <c r="C154" i="77"/>
  <c r="K142" i="77"/>
  <c r="J142" i="77"/>
  <c r="I142" i="77"/>
  <c r="H142" i="77"/>
  <c r="G142" i="77"/>
  <c r="F142" i="77"/>
  <c r="E142" i="77"/>
  <c r="D142" i="77"/>
  <c r="C142" i="77"/>
  <c r="L141" i="77"/>
  <c r="N141" i="77" s="1"/>
  <c r="L140" i="77"/>
  <c r="N140" i="77" s="1"/>
  <c r="L139" i="77"/>
  <c r="N139" i="77" s="1"/>
  <c r="L138" i="77"/>
  <c r="N138" i="77" s="1"/>
  <c r="L137" i="77"/>
  <c r="N137" i="77" s="1"/>
  <c r="L133" i="77"/>
  <c r="N133" i="77" s="1"/>
  <c r="L132" i="77"/>
  <c r="N132" i="77" s="1"/>
  <c r="N131" i="77"/>
  <c r="L131" i="77"/>
  <c r="L130" i="77"/>
  <c r="N130" i="77" s="1"/>
  <c r="L129" i="77"/>
  <c r="N129" i="77" s="1"/>
  <c r="L128" i="77"/>
  <c r="N128" i="77" s="1"/>
  <c r="L127" i="77"/>
  <c r="N127" i="77" s="1"/>
  <c r="L126" i="77"/>
  <c r="N126" i="77" s="1"/>
  <c r="L121" i="77"/>
  <c r="L120" i="77"/>
  <c r="N120" i="77" s="1"/>
  <c r="N119" i="77"/>
  <c r="L119" i="77"/>
  <c r="L118" i="77"/>
  <c r="N118" i="77" s="1"/>
  <c r="M117" i="77"/>
  <c r="L117" i="77"/>
  <c r="N117" i="77" s="1"/>
  <c r="L116" i="77"/>
  <c r="N116" i="77" s="1"/>
  <c r="L115" i="77"/>
  <c r="L114" i="77"/>
  <c r="N114" i="77" s="1"/>
  <c r="L113" i="77"/>
  <c r="N113" i="77" s="1"/>
  <c r="L112" i="77"/>
  <c r="N112" i="77" s="1"/>
  <c r="L111" i="77"/>
  <c r="N111" i="77" s="1"/>
  <c r="M110" i="77"/>
  <c r="L110" i="77"/>
  <c r="N110" i="77" s="1"/>
  <c r="L109" i="77"/>
  <c r="N109" i="77" s="1"/>
  <c r="L108" i="77"/>
  <c r="N108" i="77" s="1"/>
  <c r="L107" i="77"/>
  <c r="N107" i="77" s="1"/>
  <c r="L106" i="77"/>
  <c r="N106" i="77" s="1"/>
  <c r="L105" i="77"/>
  <c r="N105" i="77" s="1"/>
  <c r="L104" i="77"/>
  <c r="N104" i="77" s="1"/>
  <c r="L103" i="77"/>
  <c r="N103" i="77" s="1"/>
  <c r="L102" i="77"/>
  <c r="N102" i="77" s="1"/>
  <c r="L101" i="77"/>
  <c r="N101" i="77" s="1"/>
  <c r="M100" i="77"/>
  <c r="L100" i="77"/>
  <c r="N100" i="77" s="1"/>
  <c r="L99" i="77"/>
  <c r="N99" i="77" s="1"/>
  <c r="L98" i="77"/>
  <c r="M97" i="77"/>
  <c r="L97" i="77"/>
  <c r="L96" i="77"/>
  <c r="L95" i="77"/>
  <c r="N95" i="77" s="1"/>
  <c r="L94" i="77"/>
  <c r="N94" i="77" s="1"/>
  <c r="L93" i="77"/>
  <c r="N93" i="77" s="1"/>
  <c r="L92" i="77"/>
  <c r="N92" i="77" s="1"/>
  <c r="L91" i="77"/>
  <c r="N91" i="77" s="1"/>
  <c r="L90" i="77"/>
  <c r="N90" i="77" s="1"/>
  <c r="M89" i="77"/>
  <c r="L89" i="77"/>
  <c r="N89" i="77" s="1"/>
  <c r="L88" i="77"/>
  <c r="N88" i="77" s="1"/>
  <c r="L87" i="77"/>
  <c r="N87" i="77" s="1"/>
  <c r="L86" i="77"/>
  <c r="N86" i="77" s="1"/>
  <c r="L85" i="77"/>
  <c r="N85" i="77" s="1"/>
  <c r="L81" i="77"/>
  <c r="N81" i="77" s="1"/>
  <c r="L80" i="77"/>
  <c r="N80" i="77" s="1"/>
  <c r="L79" i="77"/>
  <c r="N79" i="77" s="1"/>
  <c r="L78" i="77"/>
  <c r="N78" i="77" s="1"/>
  <c r="L77" i="77"/>
  <c r="L76" i="77"/>
  <c r="N76" i="77" s="1"/>
  <c r="L75" i="77"/>
  <c r="N75" i="77" s="1"/>
  <c r="L74" i="77"/>
  <c r="N74" i="77" s="1"/>
  <c r="L73" i="77"/>
  <c r="L72" i="77"/>
  <c r="N72" i="77" s="1"/>
  <c r="L71" i="77"/>
  <c r="N71" i="77" s="1"/>
  <c r="L70" i="77"/>
  <c r="L69" i="77"/>
  <c r="N69" i="77" s="1"/>
  <c r="L68" i="77"/>
  <c r="N68" i="77" s="1"/>
  <c r="L67" i="77"/>
  <c r="N67" i="77" s="1"/>
  <c r="L66" i="77"/>
  <c r="N66" i="77" s="1"/>
  <c r="L65" i="77"/>
  <c r="N65" i="77" s="1"/>
  <c r="L64" i="77"/>
  <c r="N64" i="77" s="1"/>
  <c r="L63" i="77"/>
  <c r="N63" i="77" s="1"/>
  <c r="L62" i="77"/>
  <c r="N62" i="77" s="1"/>
  <c r="L61" i="77"/>
  <c r="N61" i="77" s="1"/>
  <c r="L60" i="77"/>
  <c r="N60" i="77" s="1"/>
  <c r="L59" i="77"/>
  <c r="N59" i="77" s="1"/>
  <c r="L58" i="77"/>
  <c r="N58" i="77" s="1"/>
  <c r="L57" i="77"/>
  <c r="N57" i="77" s="1"/>
  <c r="L56" i="77"/>
  <c r="N56" i="77" s="1"/>
  <c r="L55" i="77"/>
  <c r="N55" i="77" s="1"/>
  <c r="L54" i="77"/>
  <c r="N54" i="77" s="1"/>
  <c r="L53" i="77"/>
  <c r="N53" i="77" s="1"/>
  <c r="L52" i="77"/>
  <c r="N52" i="77" s="1"/>
  <c r="L51" i="77"/>
  <c r="L50" i="77"/>
  <c r="L49" i="77"/>
  <c r="N49" i="77" s="1"/>
  <c r="M48" i="77"/>
  <c r="L48" i="77"/>
  <c r="N48" i="77" s="1"/>
  <c r="L47" i="77"/>
  <c r="N47" i="77" s="1"/>
  <c r="L46" i="77"/>
  <c r="N46" i="77" s="1"/>
  <c r="L42" i="77"/>
  <c r="N42" i="77" s="1"/>
  <c r="L41" i="77"/>
  <c r="N41" i="77" s="1"/>
  <c r="L40" i="77"/>
  <c r="N40" i="77" s="1"/>
  <c r="L39" i="77"/>
  <c r="L38" i="77"/>
  <c r="N38" i="77" s="1"/>
  <c r="L37" i="77"/>
  <c r="N37" i="77" s="1"/>
  <c r="L36" i="77"/>
  <c r="N36" i="77" s="1"/>
  <c r="L35" i="77"/>
  <c r="N35" i="77" s="1"/>
  <c r="N34" i="77"/>
  <c r="L34" i="77"/>
  <c r="L33" i="77"/>
  <c r="L32" i="77"/>
  <c r="N32" i="77" s="1"/>
  <c r="N31" i="77"/>
  <c r="L31" i="77"/>
  <c r="K26" i="77"/>
  <c r="J26" i="77"/>
  <c r="I26" i="77"/>
  <c r="H26" i="77"/>
  <c r="G26" i="77"/>
  <c r="F26" i="77"/>
  <c r="E26" i="77"/>
  <c r="D26" i="77"/>
  <c r="C26" i="77"/>
  <c r="C25" i="77"/>
  <c r="L25" i="77" s="1"/>
  <c r="N25" i="77" s="1"/>
  <c r="L24" i="77"/>
  <c r="N24" i="77" s="1"/>
  <c r="L22" i="77"/>
  <c r="N22" i="77" s="1"/>
  <c r="L21" i="77"/>
  <c r="N21" i="77" s="1"/>
  <c r="L20" i="77"/>
  <c r="N20" i="77" s="1"/>
  <c r="L19" i="77"/>
  <c r="N19" i="77" s="1"/>
  <c r="L18" i="77"/>
  <c r="N18" i="77" s="1"/>
  <c r="L15" i="77"/>
  <c r="N15" i="77" s="1"/>
  <c r="L13" i="77"/>
  <c r="N13" i="77" s="1"/>
  <c r="L12" i="77"/>
  <c r="N12" i="77" s="1"/>
  <c r="L11" i="77"/>
  <c r="L10" i="77"/>
  <c r="C161" i="76"/>
  <c r="C164" i="76"/>
  <c r="C163" i="76"/>
  <c r="C162" i="76"/>
  <c r="M109" i="76"/>
  <c r="C174" i="78" l="1"/>
  <c r="C172" i="78"/>
  <c r="N97" i="77"/>
  <c r="N77" i="77"/>
  <c r="N10" i="77"/>
  <c r="N33" i="77"/>
  <c r="N121" i="77"/>
  <c r="N115" i="77"/>
  <c r="N96" i="77"/>
  <c r="N73" i="77"/>
  <c r="N70" i="77"/>
  <c r="N50" i="77"/>
  <c r="N39" i="77"/>
  <c r="M26" i="77"/>
  <c r="C155" i="77" s="1"/>
  <c r="L26" i="77"/>
  <c r="L142" i="77"/>
  <c r="N51" i="77"/>
  <c r="N98" i="77"/>
  <c r="N26" i="77"/>
  <c r="M142" i="77"/>
  <c r="O92" i="77" l="1"/>
  <c r="O129" i="77"/>
  <c r="N142" i="77"/>
  <c r="O121" i="77"/>
  <c r="O115" i="77"/>
  <c r="O73" i="77"/>
  <c r="O93" i="77"/>
  <c r="O89" i="77"/>
  <c r="O101" i="77"/>
  <c r="O48" i="77"/>
  <c r="O46" i="77"/>
  <c r="O33" i="77"/>
  <c r="O117" i="77"/>
  <c r="O39" i="77"/>
  <c r="O96" i="77"/>
  <c r="O110" i="77"/>
  <c r="O116" i="77"/>
  <c r="O36" i="77"/>
  <c r="O100" i="77"/>
  <c r="O25" i="77"/>
  <c r="O20" i="77"/>
  <c r="O13" i="77"/>
  <c r="O24" i="77"/>
  <c r="O19" i="77"/>
  <c r="O22" i="77"/>
  <c r="O10" i="77"/>
  <c r="O15" i="77"/>
  <c r="O18" i="77"/>
  <c r="O21" i="77"/>
  <c r="O12" i="77"/>
  <c r="C156" i="77"/>
  <c r="O126" i="77"/>
  <c r="O61" i="77"/>
  <c r="O57" i="77"/>
  <c r="O40" i="77"/>
  <c r="O130" i="77"/>
  <c r="O118" i="77"/>
  <c r="O111" i="77"/>
  <c r="O90" i="77"/>
  <c r="O80" i="77"/>
  <c r="O107" i="77"/>
  <c r="O103" i="77"/>
  <c r="O86" i="77"/>
  <c r="O65" i="77"/>
  <c r="O69" i="77"/>
  <c r="O60" i="77"/>
  <c r="O49" i="77"/>
  <c r="O79" i="77"/>
  <c r="O72" i="77"/>
  <c r="O137" i="77"/>
  <c r="O141" i="77"/>
  <c r="O76" i="77"/>
  <c r="O133" i="77"/>
  <c r="O114" i="77"/>
  <c r="O99" i="77"/>
  <c r="O102" i="77"/>
  <c r="O53" i="77"/>
  <c r="O139" i="77"/>
  <c r="O120" i="77"/>
  <c r="O109" i="77"/>
  <c r="O104" i="77"/>
  <c r="O94" i="77"/>
  <c r="O68" i="77"/>
  <c r="O62" i="77"/>
  <c r="O47" i="77"/>
  <c r="O35" i="77"/>
  <c r="O138" i="77"/>
  <c r="O55" i="77"/>
  <c r="O128" i="77"/>
  <c r="O119" i="77"/>
  <c r="O77" i="77"/>
  <c r="O131" i="77"/>
  <c r="O41" i="77"/>
  <c r="O31" i="77"/>
  <c r="O113" i="77"/>
  <c r="O108" i="77"/>
  <c r="O81" i="77"/>
  <c r="O67" i="77"/>
  <c r="O38" i="77"/>
  <c r="O42" i="77"/>
  <c r="O87" i="77"/>
  <c r="O105" i="77"/>
  <c r="O85" i="77"/>
  <c r="O97" i="77"/>
  <c r="O54" i="77"/>
  <c r="O50" i="77"/>
  <c r="O127" i="77"/>
  <c r="O88" i="77"/>
  <c r="O59" i="77"/>
  <c r="O132" i="77"/>
  <c r="O112" i="77"/>
  <c r="O106" i="77"/>
  <c r="O75" i="77"/>
  <c r="O37" i="77"/>
  <c r="O70" i="77"/>
  <c r="O58" i="77"/>
  <c r="O95" i="77"/>
  <c r="O74" i="77"/>
  <c r="O78" i="77"/>
  <c r="O32" i="77"/>
  <c r="O71" i="77"/>
  <c r="O91" i="77"/>
  <c r="O98" i="77"/>
  <c r="O52" i="77"/>
  <c r="O51" i="77"/>
  <c r="M120" i="76"/>
  <c r="M116" i="76"/>
  <c r="M115" i="76"/>
  <c r="M114" i="76"/>
  <c r="M99" i="76"/>
  <c r="M97" i="76"/>
  <c r="M96" i="76"/>
  <c r="M95" i="76"/>
  <c r="M91" i="76"/>
  <c r="M90" i="76"/>
  <c r="M84" i="76"/>
  <c r="M80" i="76"/>
  <c r="M76" i="76"/>
  <c r="M72" i="76"/>
  <c r="M70" i="76"/>
  <c r="M69" i="76"/>
  <c r="M53" i="76"/>
  <c r="M52" i="76"/>
  <c r="M51" i="76"/>
  <c r="M50" i="76"/>
  <c r="M47" i="76"/>
  <c r="M46" i="76"/>
  <c r="M39" i="76"/>
  <c r="M38" i="76"/>
  <c r="M37" i="76"/>
  <c r="M36" i="76"/>
  <c r="M33" i="76"/>
  <c r="M32" i="76"/>
  <c r="M31" i="76"/>
  <c r="M18" i="76"/>
  <c r="Q19" i="76" s="1"/>
  <c r="M15" i="76"/>
  <c r="M10" i="76"/>
  <c r="L128" i="76"/>
  <c r="N128" i="76" s="1"/>
  <c r="L18" i="76"/>
  <c r="L20" i="76"/>
  <c r="N20" i="76" s="1"/>
  <c r="C165" i="76"/>
  <c r="C168" i="76" s="1"/>
  <c r="C153" i="76"/>
  <c r="K141" i="76"/>
  <c r="J141" i="76"/>
  <c r="I141" i="76"/>
  <c r="H141" i="76"/>
  <c r="G141" i="76"/>
  <c r="F141" i="76"/>
  <c r="E141" i="76"/>
  <c r="D141" i="76"/>
  <c r="C141" i="76"/>
  <c r="L140" i="76"/>
  <c r="N140" i="76" s="1"/>
  <c r="L139" i="76"/>
  <c r="N139" i="76" s="1"/>
  <c r="L138" i="76"/>
  <c r="N138" i="76" s="1"/>
  <c r="L137" i="76"/>
  <c r="N137" i="76" s="1"/>
  <c r="L136" i="76"/>
  <c r="N136" i="76" s="1"/>
  <c r="L132" i="76"/>
  <c r="N132" i="76" s="1"/>
  <c r="L131" i="76"/>
  <c r="N131" i="76" s="1"/>
  <c r="L130" i="76"/>
  <c r="N130" i="76" s="1"/>
  <c r="L129" i="76"/>
  <c r="N129" i="76" s="1"/>
  <c r="L127" i="76"/>
  <c r="N127" i="76" s="1"/>
  <c r="L126" i="76"/>
  <c r="N126" i="76" s="1"/>
  <c r="L125" i="76"/>
  <c r="N125" i="76" s="1"/>
  <c r="L120" i="76"/>
  <c r="L119" i="76"/>
  <c r="N119" i="76" s="1"/>
  <c r="L118" i="76"/>
  <c r="N118" i="76" s="1"/>
  <c r="L117" i="76"/>
  <c r="N117" i="76" s="1"/>
  <c r="L116" i="76"/>
  <c r="L115" i="76"/>
  <c r="L114" i="76"/>
  <c r="L113" i="76"/>
  <c r="N113" i="76" s="1"/>
  <c r="L112" i="76"/>
  <c r="N112" i="76" s="1"/>
  <c r="L111" i="76"/>
  <c r="N111" i="76" s="1"/>
  <c r="L110" i="76"/>
  <c r="N110" i="76" s="1"/>
  <c r="L109" i="76"/>
  <c r="L108" i="76"/>
  <c r="N108" i="76" s="1"/>
  <c r="L107" i="76"/>
  <c r="N107" i="76" s="1"/>
  <c r="L106" i="76"/>
  <c r="N106" i="76" s="1"/>
  <c r="L105" i="76"/>
  <c r="N105" i="76" s="1"/>
  <c r="L104" i="76"/>
  <c r="N104" i="76" s="1"/>
  <c r="L103" i="76"/>
  <c r="N103" i="76" s="1"/>
  <c r="L102" i="76"/>
  <c r="N102" i="76" s="1"/>
  <c r="L101" i="76"/>
  <c r="N101" i="76" s="1"/>
  <c r="M100" i="76"/>
  <c r="L100" i="76"/>
  <c r="N100" i="76" s="1"/>
  <c r="L99" i="76"/>
  <c r="L98" i="76"/>
  <c r="N98" i="76" s="1"/>
  <c r="L97" i="76"/>
  <c r="N97" i="76" s="1"/>
  <c r="L96" i="76"/>
  <c r="L95" i="76"/>
  <c r="L94" i="76"/>
  <c r="N94" i="76" s="1"/>
  <c r="L93" i="76"/>
  <c r="N93" i="76" s="1"/>
  <c r="M92" i="76"/>
  <c r="L92" i="76"/>
  <c r="N92" i="76" s="1"/>
  <c r="L91" i="76"/>
  <c r="N91" i="76" s="1"/>
  <c r="L90" i="76"/>
  <c r="L89" i="76"/>
  <c r="N89" i="76" s="1"/>
  <c r="N88" i="76"/>
  <c r="M88" i="76"/>
  <c r="L88" i="76"/>
  <c r="L87" i="76"/>
  <c r="N87" i="76" s="1"/>
  <c r="L86" i="76"/>
  <c r="N86" i="76" s="1"/>
  <c r="L85" i="76"/>
  <c r="N85" i="76" s="1"/>
  <c r="L84" i="76"/>
  <c r="L80" i="76"/>
  <c r="N80" i="76" s="1"/>
  <c r="L79" i="76"/>
  <c r="N79" i="76" s="1"/>
  <c r="L78" i="76"/>
  <c r="N78" i="76" s="1"/>
  <c r="M77" i="76"/>
  <c r="L77" i="76"/>
  <c r="N77" i="76" s="1"/>
  <c r="L76" i="76"/>
  <c r="N76" i="76" s="1"/>
  <c r="L75" i="76"/>
  <c r="N75" i="76" s="1"/>
  <c r="L74" i="76"/>
  <c r="N74" i="76" s="1"/>
  <c r="L73" i="76"/>
  <c r="N73" i="76" s="1"/>
  <c r="L72" i="76"/>
  <c r="L71" i="76"/>
  <c r="N71" i="76" s="1"/>
  <c r="L70" i="76"/>
  <c r="L69" i="76"/>
  <c r="L68" i="76"/>
  <c r="N68" i="76" s="1"/>
  <c r="L67" i="76"/>
  <c r="N67" i="76" s="1"/>
  <c r="L66" i="76"/>
  <c r="N66" i="76" s="1"/>
  <c r="L65" i="76"/>
  <c r="N65" i="76" s="1"/>
  <c r="L64" i="76"/>
  <c r="N64" i="76" s="1"/>
  <c r="L63" i="76"/>
  <c r="N63" i="76" s="1"/>
  <c r="L62" i="76"/>
  <c r="N62" i="76" s="1"/>
  <c r="L61" i="76"/>
  <c r="N61" i="76" s="1"/>
  <c r="L60" i="76"/>
  <c r="N60" i="76" s="1"/>
  <c r="L59" i="76"/>
  <c r="N59" i="76" s="1"/>
  <c r="L58" i="76"/>
  <c r="N58" i="76" s="1"/>
  <c r="L57" i="76"/>
  <c r="N57" i="76" s="1"/>
  <c r="L56" i="76"/>
  <c r="N56" i="76" s="1"/>
  <c r="L55" i="76"/>
  <c r="N55" i="76" s="1"/>
  <c r="L54" i="76"/>
  <c r="N54" i="76" s="1"/>
  <c r="L53" i="76"/>
  <c r="L52" i="76"/>
  <c r="L51" i="76"/>
  <c r="N51" i="76" s="1"/>
  <c r="L50" i="76"/>
  <c r="L49" i="76"/>
  <c r="N49" i="76" s="1"/>
  <c r="M48" i="76"/>
  <c r="L48" i="76"/>
  <c r="N48" i="76" s="1"/>
  <c r="L47" i="76"/>
  <c r="N47" i="76" s="1"/>
  <c r="L46" i="76"/>
  <c r="L42" i="76"/>
  <c r="N42" i="76" s="1"/>
  <c r="L41" i="76"/>
  <c r="N41" i="76" s="1"/>
  <c r="L40" i="76"/>
  <c r="N40" i="76" s="1"/>
  <c r="L39" i="76"/>
  <c r="L38" i="76"/>
  <c r="L37" i="76"/>
  <c r="L36" i="76"/>
  <c r="L35" i="76"/>
  <c r="N35" i="76" s="1"/>
  <c r="L34" i="76"/>
  <c r="N34" i="76" s="1"/>
  <c r="L33" i="76"/>
  <c r="N33" i="76" s="1"/>
  <c r="L32" i="76"/>
  <c r="N32" i="76" s="1"/>
  <c r="L31" i="76"/>
  <c r="K26" i="76"/>
  <c r="J26" i="76"/>
  <c r="I26" i="76"/>
  <c r="H26" i="76"/>
  <c r="G26" i="76"/>
  <c r="F26" i="76"/>
  <c r="E26" i="76"/>
  <c r="D26" i="76"/>
  <c r="C25" i="76"/>
  <c r="L25" i="76" s="1"/>
  <c r="N25" i="76" s="1"/>
  <c r="L24" i="76"/>
  <c r="N24" i="76" s="1"/>
  <c r="L22" i="76"/>
  <c r="N22" i="76" s="1"/>
  <c r="L21" i="76"/>
  <c r="N21" i="76" s="1"/>
  <c r="L19" i="76"/>
  <c r="N19" i="76" s="1"/>
  <c r="L15" i="76"/>
  <c r="N15" i="76" s="1"/>
  <c r="L13" i="76"/>
  <c r="N13" i="76" s="1"/>
  <c r="L12" i="76"/>
  <c r="N12" i="76" s="1"/>
  <c r="L11" i="76"/>
  <c r="L10" i="76"/>
  <c r="C163" i="75"/>
  <c r="N50" i="76" l="1"/>
  <c r="N95" i="76"/>
  <c r="N115" i="76"/>
  <c r="N116" i="76"/>
  <c r="C157" i="77"/>
  <c r="N120" i="76"/>
  <c r="N114" i="76"/>
  <c r="N99" i="76"/>
  <c r="N96" i="76"/>
  <c r="N84" i="76"/>
  <c r="N70" i="76"/>
  <c r="N69" i="76"/>
  <c r="N53" i="76"/>
  <c r="N52" i="76"/>
  <c r="N46" i="76"/>
  <c r="N39" i="76"/>
  <c r="N37" i="76"/>
  <c r="N36" i="76"/>
  <c r="M141" i="76"/>
  <c r="O51" i="76" s="1"/>
  <c r="N38" i="76"/>
  <c r="N109" i="76"/>
  <c r="C26" i="76"/>
  <c r="N90" i="76"/>
  <c r="N18" i="76"/>
  <c r="N72" i="76"/>
  <c r="L141" i="76"/>
  <c r="L26" i="76"/>
  <c r="N31" i="76"/>
  <c r="M26" i="76"/>
  <c r="N10" i="76"/>
  <c r="M50" i="75"/>
  <c r="N26" i="76" l="1"/>
  <c r="C174" i="77"/>
  <c r="C172" i="77"/>
  <c r="O120" i="76"/>
  <c r="O52" i="76"/>
  <c r="O99" i="76"/>
  <c r="O41" i="76"/>
  <c r="C155" i="76"/>
  <c r="O58" i="76"/>
  <c r="O64" i="76"/>
  <c r="O110" i="76"/>
  <c r="O109" i="76"/>
  <c r="O111" i="76"/>
  <c r="O38" i="76"/>
  <c r="O126" i="76"/>
  <c r="O67" i="76"/>
  <c r="O86" i="76"/>
  <c r="O98" i="76"/>
  <c r="O95" i="76"/>
  <c r="O116" i="76"/>
  <c r="O117" i="76"/>
  <c r="O136" i="76"/>
  <c r="O93" i="76"/>
  <c r="O125" i="76"/>
  <c r="O115" i="76"/>
  <c r="O137" i="76"/>
  <c r="O119" i="76"/>
  <c r="O112" i="76"/>
  <c r="O50" i="76"/>
  <c r="O131" i="76"/>
  <c r="O138" i="76"/>
  <c r="O88" i="76"/>
  <c r="O87" i="76"/>
  <c r="O89" i="76"/>
  <c r="O33" i="76"/>
  <c r="O91" i="76"/>
  <c r="O49" i="76"/>
  <c r="O103" i="76"/>
  <c r="O37" i="76"/>
  <c r="O66" i="76"/>
  <c r="O54" i="76"/>
  <c r="O60" i="76"/>
  <c r="O107" i="76"/>
  <c r="O40" i="76"/>
  <c r="O78" i="76"/>
  <c r="O73" i="76"/>
  <c r="O46" i="76"/>
  <c r="O94" i="76"/>
  <c r="O68" i="76"/>
  <c r="O118" i="76"/>
  <c r="O57" i="76"/>
  <c r="O53" i="76"/>
  <c r="O47" i="76"/>
  <c r="O97" i="76"/>
  <c r="O31" i="76"/>
  <c r="O101" i="76"/>
  <c r="O75" i="76"/>
  <c r="O106" i="76"/>
  <c r="O61" i="76"/>
  <c r="O69" i="76"/>
  <c r="O80" i="76"/>
  <c r="O70" i="76"/>
  <c r="O114" i="76"/>
  <c r="O102" i="76"/>
  <c r="O105" i="76"/>
  <c r="O85" i="76"/>
  <c r="O71" i="76"/>
  <c r="O72" i="76"/>
  <c r="O76" i="76"/>
  <c r="O90" i="76"/>
  <c r="O39" i="76"/>
  <c r="O140" i="76"/>
  <c r="O48" i="76"/>
  <c r="O130" i="76"/>
  <c r="O35" i="76"/>
  <c r="O100" i="76"/>
  <c r="O127" i="76"/>
  <c r="O36" i="76"/>
  <c r="O32" i="76"/>
  <c r="O113" i="76"/>
  <c r="O74" i="76"/>
  <c r="O79" i="76"/>
  <c r="O59" i="76"/>
  <c r="O104" i="76"/>
  <c r="O132" i="76"/>
  <c r="O92" i="76"/>
  <c r="O77" i="76"/>
  <c r="O129" i="76"/>
  <c r="O55" i="76"/>
  <c r="O96" i="76"/>
  <c r="O84" i="76"/>
  <c r="O108" i="76"/>
  <c r="O42" i="76"/>
  <c r="N141" i="76"/>
  <c r="O21" i="76"/>
  <c r="O18" i="76"/>
  <c r="O15" i="76"/>
  <c r="O25" i="76"/>
  <c r="O20" i="76"/>
  <c r="O13" i="76"/>
  <c r="O12" i="76"/>
  <c r="C154" i="76"/>
  <c r="O24" i="76"/>
  <c r="O19" i="76"/>
  <c r="O22" i="76"/>
  <c r="O10" i="76"/>
  <c r="C161" i="75"/>
  <c r="C160" i="75"/>
  <c r="C164" i="75"/>
  <c r="C152" i="75"/>
  <c r="K140" i="75"/>
  <c r="J140" i="75"/>
  <c r="I140" i="75"/>
  <c r="H140" i="75"/>
  <c r="G140" i="75"/>
  <c r="F140" i="75"/>
  <c r="E140" i="75"/>
  <c r="D140" i="75"/>
  <c r="C140" i="75"/>
  <c r="N139" i="75"/>
  <c r="L139" i="75"/>
  <c r="L138" i="75"/>
  <c r="N138" i="75" s="1"/>
  <c r="L137" i="75"/>
  <c r="N137" i="75" s="1"/>
  <c r="L136" i="75"/>
  <c r="N136" i="75" s="1"/>
  <c r="L135" i="75"/>
  <c r="N135" i="75" s="1"/>
  <c r="L131" i="75"/>
  <c r="N131" i="75" s="1"/>
  <c r="L130" i="75"/>
  <c r="N130" i="75" s="1"/>
  <c r="L129" i="75"/>
  <c r="N129" i="75" s="1"/>
  <c r="L128" i="75"/>
  <c r="N128" i="75" s="1"/>
  <c r="L127" i="75"/>
  <c r="N127" i="75" s="1"/>
  <c r="L126" i="75"/>
  <c r="N126" i="75" s="1"/>
  <c r="L125" i="75"/>
  <c r="N125" i="75" s="1"/>
  <c r="M120" i="75"/>
  <c r="L120" i="75"/>
  <c r="L119" i="75"/>
  <c r="N119" i="75" s="1"/>
  <c r="L118" i="75"/>
  <c r="N118" i="75" s="1"/>
  <c r="L117" i="75"/>
  <c r="N117" i="75" s="1"/>
  <c r="L116" i="75"/>
  <c r="N116" i="75" s="1"/>
  <c r="M115" i="75"/>
  <c r="L115" i="75"/>
  <c r="M114" i="75"/>
  <c r="L114" i="75"/>
  <c r="N114" i="75" s="1"/>
  <c r="L113" i="75"/>
  <c r="N113" i="75" s="1"/>
  <c r="L112" i="75"/>
  <c r="N112" i="75" s="1"/>
  <c r="L111" i="75"/>
  <c r="N111" i="75" s="1"/>
  <c r="L110" i="75"/>
  <c r="N110" i="75" s="1"/>
  <c r="M109" i="75"/>
  <c r="N109" i="75" s="1"/>
  <c r="L109" i="75"/>
  <c r="L108" i="75"/>
  <c r="N108" i="75" s="1"/>
  <c r="L107" i="75"/>
  <c r="N107" i="75" s="1"/>
  <c r="L106" i="75"/>
  <c r="N106" i="75" s="1"/>
  <c r="L105" i="75"/>
  <c r="N105" i="75" s="1"/>
  <c r="L104" i="75"/>
  <c r="N104" i="75" s="1"/>
  <c r="L103" i="75"/>
  <c r="N103" i="75" s="1"/>
  <c r="L102" i="75"/>
  <c r="N102" i="75" s="1"/>
  <c r="L101" i="75"/>
  <c r="N101" i="75" s="1"/>
  <c r="M100" i="75"/>
  <c r="L100" i="75"/>
  <c r="L99" i="75"/>
  <c r="N99" i="75" s="1"/>
  <c r="L98" i="75"/>
  <c r="N98" i="75" s="1"/>
  <c r="M97" i="75"/>
  <c r="L97" i="75"/>
  <c r="N97" i="75" s="1"/>
  <c r="M96" i="75"/>
  <c r="L96" i="75"/>
  <c r="N96" i="75" s="1"/>
  <c r="L95" i="75"/>
  <c r="N95" i="75" s="1"/>
  <c r="L94" i="75"/>
  <c r="N94" i="75" s="1"/>
  <c r="L93" i="75"/>
  <c r="N93" i="75" s="1"/>
  <c r="M92" i="75"/>
  <c r="L92" i="75"/>
  <c r="M91" i="75"/>
  <c r="L91" i="75"/>
  <c r="N91" i="75" s="1"/>
  <c r="M90" i="75"/>
  <c r="L90" i="75"/>
  <c r="N90" i="75" s="1"/>
  <c r="L89" i="75"/>
  <c r="N89" i="75" s="1"/>
  <c r="M88" i="75"/>
  <c r="L88" i="75"/>
  <c r="L87" i="75"/>
  <c r="N87" i="75" s="1"/>
  <c r="N86" i="75"/>
  <c r="L86" i="75"/>
  <c r="L85" i="75"/>
  <c r="N85" i="75" s="1"/>
  <c r="M84" i="75"/>
  <c r="L84" i="75"/>
  <c r="N84" i="75" s="1"/>
  <c r="L80" i="75"/>
  <c r="N80" i="75" s="1"/>
  <c r="L79" i="75"/>
  <c r="N79" i="75" s="1"/>
  <c r="L78" i="75"/>
  <c r="N78" i="75" s="1"/>
  <c r="M77" i="75"/>
  <c r="N77" i="75" s="1"/>
  <c r="L77" i="75"/>
  <c r="M76" i="75"/>
  <c r="L76" i="75"/>
  <c r="L75" i="75"/>
  <c r="N75" i="75" s="1"/>
  <c r="L74" i="75"/>
  <c r="N74" i="75" s="1"/>
  <c r="L73" i="75"/>
  <c r="N73" i="75" s="1"/>
  <c r="M72" i="75"/>
  <c r="L72" i="75"/>
  <c r="N72" i="75" s="1"/>
  <c r="L71" i="75"/>
  <c r="N71" i="75" s="1"/>
  <c r="M70" i="75"/>
  <c r="L70" i="75"/>
  <c r="M69" i="75"/>
  <c r="N69" i="75" s="1"/>
  <c r="L69" i="75"/>
  <c r="L68" i="75"/>
  <c r="N68" i="75" s="1"/>
  <c r="L67" i="75"/>
  <c r="N67" i="75" s="1"/>
  <c r="L66" i="75"/>
  <c r="N66" i="75" s="1"/>
  <c r="L65" i="75"/>
  <c r="N65" i="75" s="1"/>
  <c r="L64" i="75"/>
  <c r="N64" i="75" s="1"/>
  <c r="L63" i="75"/>
  <c r="N63" i="75" s="1"/>
  <c r="L62" i="75"/>
  <c r="N62" i="75" s="1"/>
  <c r="L61" i="75"/>
  <c r="N61" i="75" s="1"/>
  <c r="L60" i="75"/>
  <c r="N60" i="75" s="1"/>
  <c r="L59" i="75"/>
  <c r="N59" i="75" s="1"/>
  <c r="L58" i="75"/>
  <c r="N58" i="75" s="1"/>
  <c r="L57" i="75"/>
  <c r="N57" i="75" s="1"/>
  <c r="L56" i="75"/>
  <c r="N56" i="75" s="1"/>
  <c r="L55" i="75"/>
  <c r="N55" i="75" s="1"/>
  <c r="L54" i="75"/>
  <c r="N54" i="75" s="1"/>
  <c r="M53" i="75"/>
  <c r="L53" i="75"/>
  <c r="M52" i="75"/>
  <c r="L52" i="75"/>
  <c r="N52" i="75" s="1"/>
  <c r="M51" i="75"/>
  <c r="N51" i="75" s="1"/>
  <c r="L51" i="75"/>
  <c r="L50" i="75"/>
  <c r="L49" i="75"/>
  <c r="N49" i="75" s="1"/>
  <c r="M48" i="75"/>
  <c r="L48" i="75"/>
  <c r="M47" i="75"/>
  <c r="L47" i="75"/>
  <c r="N47" i="75" s="1"/>
  <c r="M46" i="75"/>
  <c r="L46" i="75"/>
  <c r="N46" i="75" s="1"/>
  <c r="L42" i="75"/>
  <c r="N42" i="75" s="1"/>
  <c r="L41" i="75"/>
  <c r="N41" i="75" s="1"/>
  <c r="N40" i="75"/>
  <c r="L40" i="75"/>
  <c r="M39" i="75"/>
  <c r="L39" i="75"/>
  <c r="N39" i="75" s="1"/>
  <c r="M38" i="75"/>
  <c r="N38" i="75" s="1"/>
  <c r="L38" i="75"/>
  <c r="L37" i="75"/>
  <c r="N37" i="75" s="1"/>
  <c r="M36" i="75"/>
  <c r="L36" i="75"/>
  <c r="N36" i="75" s="1"/>
  <c r="L35" i="75"/>
  <c r="N35" i="75" s="1"/>
  <c r="L34" i="75"/>
  <c r="N34" i="75" s="1"/>
  <c r="M33" i="75"/>
  <c r="N33" i="75" s="1"/>
  <c r="L33" i="75"/>
  <c r="M32" i="75"/>
  <c r="L32" i="75"/>
  <c r="N32" i="75" s="1"/>
  <c r="M31" i="75"/>
  <c r="L31" i="75"/>
  <c r="K26" i="75"/>
  <c r="J26" i="75"/>
  <c r="I26" i="75"/>
  <c r="H26" i="75"/>
  <c r="G26" i="75"/>
  <c r="F26" i="75"/>
  <c r="E26" i="75"/>
  <c r="D26" i="75"/>
  <c r="C25" i="75"/>
  <c r="C26" i="75" s="1"/>
  <c r="L24" i="75"/>
  <c r="N24" i="75" s="1"/>
  <c r="L22" i="75"/>
  <c r="N22" i="75" s="1"/>
  <c r="L21" i="75"/>
  <c r="N21" i="75" s="1"/>
  <c r="L20" i="75"/>
  <c r="N20" i="75" s="1"/>
  <c r="L19" i="75"/>
  <c r="N19" i="75" s="1"/>
  <c r="M18" i="75"/>
  <c r="L18" i="75"/>
  <c r="N18" i="75" s="1"/>
  <c r="M15" i="75"/>
  <c r="L15" i="75"/>
  <c r="L13" i="75"/>
  <c r="N13" i="75" s="1"/>
  <c r="L12" i="75"/>
  <c r="N12" i="75" s="1"/>
  <c r="L11" i="75"/>
  <c r="M10" i="75"/>
  <c r="L10" i="75"/>
  <c r="N10" i="75" s="1"/>
  <c r="M121" i="74"/>
  <c r="M116" i="74"/>
  <c r="M115" i="74"/>
  <c r="M110" i="74"/>
  <c r="M101" i="74"/>
  <c r="M98" i="74"/>
  <c r="M92" i="74"/>
  <c r="M91" i="74"/>
  <c r="M85" i="74"/>
  <c r="M78" i="74"/>
  <c r="M77" i="74"/>
  <c r="M73" i="74"/>
  <c r="M71" i="74"/>
  <c r="M70" i="74"/>
  <c r="M53" i="74"/>
  <c r="M52" i="74"/>
  <c r="N88" i="75" l="1"/>
  <c r="N53" i="75"/>
  <c r="N92" i="75"/>
  <c r="N48" i="75"/>
  <c r="N15" i="75"/>
  <c r="N26" i="75" s="1"/>
  <c r="L25" i="75"/>
  <c r="N25" i="75" s="1"/>
  <c r="N76" i="75"/>
  <c r="L140" i="75"/>
  <c r="C156" i="76"/>
  <c r="C171" i="76" s="1"/>
  <c r="C167" i="75"/>
  <c r="N120" i="75"/>
  <c r="N31" i="75"/>
  <c r="M140" i="75"/>
  <c r="O109" i="75" s="1"/>
  <c r="M26" i="75"/>
  <c r="O18" i="75" s="1"/>
  <c r="N50" i="75"/>
  <c r="N100" i="75"/>
  <c r="N115" i="75"/>
  <c r="N70" i="75"/>
  <c r="M51" i="74"/>
  <c r="M50" i="74"/>
  <c r="M48" i="74"/>
  <c r="M47" i="74"/>
  <c r="M46" i="74"/>
  <c r="M39" i="74"/>
  <c r="M38" i="74"/>
  <c r="M36" i="74"/>
  <c r="M33" i="74"/>
  <c r="M32" i="74"/>
  <c r="M31" i="74"/>
  <c r="M18" i="74"/>
  <c r="M15" i="74"/>
  <c r="M10" i="74"/>
  <c r="C165" i="74"/>
  <c r="M89" i="74"/>
  <c r="C162" i="74"/>
  <c r="L26" i="75" l="1"/>
  <c r="C173" i="76"/>
  <c r="O52" i="75"/>
  <c r="O70" i="75"/>
  <c r="O38" i="75"/>
  <c r="O88" i="75"/>
  <c r="O69" i="75"/>
  <c r="O53" i="75"/>
  <c r="O120" i="75"/>
  <c r="O33" i="75"/>
  <c r="O115" i="75"/>
  <c r="O90" i="75"/>
  <c r="O114" i="75"/>
  <c r="O50" i="75"/>
  <c r="O20" i="75"/>
  <c r="O12" i="75"/>
  <c r="O10" i="75"/>
  <c r="O25" i="75"/>
  <c r="C153" i="75"/>
  <c r="O13" i="75"/>
  <c r="O24" i="75"/>
  <c r="O19" i="75"/>
  <c r="O22" i="75"/>
  <c r="O21" i="75"/>
  <c r="O15" i="75"/>
  <c r="O100" i="75"/>
  <c r="O92" i="75"/>
  <c r="O131" i="75"/>
  <c r="O127" i="75"/>
  <c r="O112" i="75"/>
  <c r="O80" i="75"/>
  <c r="O61" i="75"/>
  <c r="O137" i="75"/>
  <c r="O126" i="75"/>
  <c r="O111" i="75"/>
  <c r="O79" i="75"/>
  <c r="O78" i="75"/>
  <c r="O95" i="75"/>
  <c r="O98" i="75"/>
  <c r="O59" i="75"/>
  <c r="O42" i="75"/>
  <c r="O128" i="75"/>
  <c r="O139" i="75"/>
  <c r="O101" i="75"/>
  <c r="O54" i="75"/>
  <c r="O97" i="75"/>
  <c r="O73" i="75"/>
  <c r="O66" i="75"/>
  <c r="O119" i="75"/>
  <c r="O108" i="75"/>
  <c r="O104" i="75"/>
  <c r="O93" i="75"/>
  <c r="O37" i="75"/>
  <c r="O86" i="75"/>
  <c r="O72" i="75"/>
  <c r="O57" i="75"/>
  <c r="O40" i="75"/>
  <c r="O96" i="75"/>
  <c r="O71" i="75"/>
  <c r="O117" i="75"/>
  <c r="O102" i="75"/>
  <c r="O55" i="75"/>
  <c r="O67" i="75"/>
  <c r="O135" i="75"/>
  <c r="O113" i="75"/>
  <c r="O130" i="75"/>
  <c r="C154" i="75"/>
  <c r="O116" i="75"/>
  <c r="O41" i="75"/>
  <c r="O118" i="75"/>
  <c r="O107" i="75"/>
  <c r="O103" i="75"/>
  <c r="O89" i="75"/>
  <c r="O64" i="75"/>
  <c r="O99" i="75"/>
  <c r="O85" i="75"/>
  <c r="O75" i="75"/>
  <c r="O68" i="75"/>
  <c r="O60" i="75"/>
  <c r="O49" i="75"/>
  <c r="O136" i="75"/>
  <c r="O129" i="75"/>
  <c r="O125" i="75"/>
  <c r="O110" i="75"/>
  <c r="O106" i="75"/>
  <c r="O74" i="75"/>
  <c r="O35" i="75"/>
  <c r="O105" i="75"/>
  <c r="O94" i="75"/>
  <c r="O58" i="75"/>
  <c r="O87" i="75"/>
  <c r="O39" i="75"/>
  <c r="N140" i="75"/>
  <c r="O32" i="75"/>
  <c r="O84" i="75"/>
  <c r="O91" i="75"/>
  <c r="O47" i="75"/>
  <c r="O77" i="75"/>
  <c r="O48" i="75"/>
  <c r="O36" i="75"/>
  <c r="O76" i="75"/>
  <c r="O51" i="75"/>
  <c r="O31" i="75"/>
  <c r="O46" i="75"/>
  <c r="C164" i="74"/>
  <c r="M97" i="74"/>
  <c r="M93" i="74"/>
  <c r="N52" i="74"/>
  <c r="N47" i="74"/>
  <c r="M26" i="74"/>
  <c r="C153" i="74"/>
  <c r="K141" i="74"/>
  <c r="J141" i="74"/>
  <c r="I141" i="74"/>
  <c r="H141" i="74"/>
  <c r="G141" i="74"/>
  <c r="F141" i="74"/>
  <c r="E141" i="74"/>
  <c r="D141" i="74"/>
  <c r="C141" i="74"/>
  <c r="L140" i="74"/>
  <c r="N140" i="74" s="1"/>
  <c r="L139" i="74"/>
  <c r="N139" i="74" s="1"/>
  <c r="L138" i="74"/>
  <c r="N138" i="74" s="1"/>
  <c r="L137" i="74"/>
  <c r="N137" i="74" s="1"/>
  <c r="L136" i="74"/>
  <c r="N136" i="74" s="1"/>
  <c r="L132" i="74"/>
  <c r="N132" i="74" s="1"/>
  <c r="L131" i="74"/>
  <c r="N131" i="74" s="1"/>
  <c r="L130" i="74"/>
  <c r="N130" i="74" s="1"/>
  <c r="L129" i="74"/>
  <c r="N129" i="74" s="1"/>
  <c r="L128" i="74"/>
  <c r="N128" i="74" s="1"/>
  <c r="L127" i="74"/>
  <c r="N127" i="74" s="1"/>
  <c r="L126" i="74"/>
  <c r="N126" i="74" s="1"/>
  <c r="L121" i="74"/>
  <c r="N121" i="74" s="1"/>
  <c r="L120" i="74"/>
  <c r="N120" i="74" s="1"/>
  <c r="L119" i="74"/>
  <c r="N119" i="74" s="1"/>
  <c r="L118" i="74"/>
  <c r="N118" i="74" s="1"/>
  <c r="L117" i="74"/>
  <c r="N117" i="74" s="1"/>
  <c r="L116" i="74"/>
  <c r="N116" i="74" s="1"/>
  <c r="L115" i="74"/>
  <c r="L114" i="74"/>
  <c r="N114" i="74" s="1"/>
  <c r="L113" i="74"/>
  <c r="N113" i="74" s="1"/>
  <c r="L112" i="74"/>
  <c r="N112" i="74" s="1"/>
  <c r="L111" i="74"/>
  <c r="N111" i="74" s="1"/>
  <c r="L110" i="74"/>
  <c r="N110" i="74" s="1"/>
  <c r="L109" i="74"/>
  <c r="N109" i="74" s="1"/>
  <c r="L108" i="74"/>
  <c r="N108" i="74" s="1"/>
  <c r="L107" i="74"/>
  <c r="N107" i="74" s="1"/>
  <c r="L106" i="74"/>
  <c r="N106" i="74" s="1"/>
  <c r="L105" i="74"/>
  <c r="N105" i="74" s="1"/>
  <c r="L104" i="74"/>
  <c r="N104" i="74" s="1"/>
  <c r="L103" i="74"/>
  <c r="N103" i="74" s="1"/>
  <c r="L102" i="74"/>
  <c r="N102" i="74" s="1"/>
  <c r="L101" i="74"/>
  <c r="L100" i="74"/>
  <c r="N100" i="74" s="1"/>
  <c r="L99" i="74"/>
  <c r="N99" i="74" s="1"/>
  <c r="L98" i="74"/>
  <c r="N98" i="74" s="1"/>
  <c r="L97" i="74"/>
  <c r="N97" i="74" s="1"/>
  <c r="L96" i="74"/>
  <c r="N96" i="74" s="1"/>
  <c r="L95" i="74"/>
  <c r="N95" i="74" s="1"/>
  <c r="L94" i="74"/>
  <c r="N94" i="74" s="1"/>
  <c r="L93" i="74"/>
  <c r="N93" i="74" s="1"/>
  <c r="L92" i="74"/>
  <c r="N92" i="74" s="1"/>
  <c r="L91" i="74"/>
  <c r="N91" i="74" s="1"/>
  <c r="L90" i="74"/>
  <c r="N90" i="74" s="1"/>
  <c r="L89" i="74"/>
  <c r="N89" i="74" s="1"/>
  <c r="L88" i="74"/>
  <c r="N88" i="74" s="1"/>
  <c r="L87" i="74"/>
  <c r="N87" i="74" s="1"/>
  <c r="L86" i="74"/>
  <c r="N86" i="74" s="1"/>
  <c r="L85" i="74"/>
  <c r="N85" i="74" s="1"/>
  <c r="L81" i="74"/>
  <c r="N81" i="74" s="1"/>
  <c r="L80" i="74"/>
  <c r="N80" i="74" s="1"/>
  <c r="L79" i="74"/>
  <c r="N79" i="74" s="1"/>
  <c r="L78" i="74"/>
  <c r="N78" i="74" s="1"/>
  <c r="L77" i="74"/>
  <c r="N77" i="74" s="1"/>
  <c r="L76" i="74"/>
  <c r="N76" i="74" s="1"/>
  <c r="L75" i="74"/>
  <c r="N75" i="74" s="1"/>
  <c r="L74" i="74"/>
  <c r="N74" i="74" s="1"/>
  <c r="L73" i="74"/>
  <c r="N73" i="74" s="1"/>
  <c r="L72" i="74"/>
  <c r="N72" i="74" s="1"/>
  <c r="L71" i="74"/>
  <c r="N71" i="74" s="1"/>
  <c r="L70" i="74"/>
  <c r="N70" i="74" s="1"/>
  <c r="L69" i="74"/>
  <c r="N69" i="74" s="1"/>
  <c r="L68" i="74"/>
  <c r="N68" i="74" s="1"/>
  <c r="L67" i="74"/>
  <c r="N67" i="74" s="1"/>
  <c r="L66" i="74"/>
  <c r="N66" i="74" s="1"/>
  <c r="L65" i="74"/>
  <c r="N65" i="74" s="1"/>
  <c r="L64" i="74"/>
  <c r="N64" i="74" s="1"/>
  <c r="L63" i="74"/>
  <c r="N63" i="74" s="1"/>
  <c r="L62" i="74"/>
  <c r="N62" i="74" s="1"/>
  <c r="L61" i="74"/>
  <c r="N61" i="74" s="1"/>
  <c r="L60" i="74"/>
  <c r="N60" i="74" s="1"/>
  <c r="L59" i="74"/>
  <c r="N59" i="74" s="1"/>
  <c r="L58" i="74"/>
  <c r="N58" i="74" s="1"/>
  <c r="L57" i="74"/>
  <c r="N57" i="74" s="1"/>
  <c r="N56" i="74"/>
  <c r="L56" i="74"/>
  <c r="L55" i="74"/>
  <c r="N55" i="74" s="1"/>
  <c r="L54" i="74"/>
  <c r="N54" i="74" s="1"/>
  <c r="L53" i="74"/>
  <c r="L52" i="74"/>
  <c r="L51" i="74"/>
  <c r="N51" i="74" s="1"/>
  <c r="L50" i="74"/>
  <c r="N50" i="74" s="1"/>
  <c r="L49" i="74"/>
  <c r="N49" i="74" s="1"/>
  <c r="L48" i="74"/>
  <c r="N48" i="74" s="1"/>
  <c r="L47" i="74"/>
  <c r="L46" i="74"/>
  <c r="L42" i="74"/>
  <c r="N42" i="74" s="1"/>
  <c r="N41" i="74"/>
  <c r="L41" i="74"/>
  <c r="L40" i="74"/>
  <c r="N40" i="74" s="1"/>
  <c r="L39" i="74"/>
  <c r="L38" i="74"/>
  <c r="L37" i="74"/>
  <c r="N37" i="74" s="1"/>
  <c r="N36" i="74"/>
  <c r="L36" i="74"/>
  <c r="L35" i="74"/>
  <c r="N35" i="74" s="1"/>
  <c r="L34" i="74"/>
  <c r="N34" i="74" s="1"/>
  <c r="L33" i="74"/>
  <c r="L32" i="74"/>
  <c r="N32" i="74" s="1"/>
  <c r="L31" i="74"/>
  <c r="N31" i="74" s="1"/>
  <c r="K26" i="74"/>
  <c r="J26" i="74"/>
  <c r="I26" i="74"/>
  <c r="H26" i="74"/>
  <c r="G26" i="74"/>
  <c r="F26" i="74"/>
  <c r="E26" i="74"/>
  <c r="D26" i="74"/>
  <c r="C25" i="74"/>
  <c r="C26" i="74" s="1"/>
  <c r="N24" i="74"/>
  <c r="L24" i="74"/>
  <c r="L22" i="74"/>
  <c r="N22" i="74" s="1"/>
  <c r="L21" i="74"/>
  <c r="N21" i="74" s="1"/>
  <c r="L20" i="74"/>
  <c r="N20" i="74" s="1"/>
  <c r="L19" i="74"/>
  <c r="N19" i="74" s="1"/>
  <c r="N18" i="74"/>
  <c r="L18" i="74"/>
  <c r="L15" i="74"/>
  <c r="N15" i="74" s="1"/>
  <c r="L13" i="74"/>
  <c r="N12" i="74"/>
  <c r="L12" i="74"/>
  <c r="L11" i="74"/>
  <c r="L10" i="74"/>
  <c r="L139" i="73"/>
  <c r="N139" i="73" s="1"/>
  <c r="L66" i="73"/>
  <c r="N66" i="73" s="1"/>
  <c r="C153" i="73"/>
  <c r="C165" i="73"/>
  <c r="C162" i="73"/>
  <c r="C155" i="75" l="1"/>
  <c r="C168" i="74"/>
  <c r="N115" i="74"/>
  <c r="N101" i="74"/>
  <c r="N53" i="74"/>
  <c r="N46" i="74"/>
  <c r="N39" i="74"/>
  <c r="M141" i="74"/>
  <c r="O32" i="74" s="1"/>
  <c r="N38" i="74"/>
  <c r="N33" i="74"/>
  <c r="O25" i="74"/>
  <c r="O13" i="74"/>
  <c r="O19" i="74"/>
  <c r="O12" i="74"/>
  <c r="O24" i="74"/>
  <c r="N10" i="74"/>
  <c r="L25" i="74"/>
  <c r="N25" i="74" s="1"/>
  <c r="O21" i="74"/>
  <c r="O15" i="74"/>
  <c r="L141" i="74"/>
  <c r="N13" i="74"/>
  <c r="N26" i="74" s="1"/>
  <c r="O20" i="74"/>
  <c r="O10" i="74"/>
  <c r="O18" i="74"/>
  <c r="O22" i="74"/>
  <c r="C154" i="74"/>
  <c r="C172" i="75" l="1"/>
  <c r="C170" i="75"/>
  <c r="N141" i="74"/>
  <c r="O111" i="74"/>
  <c r="O91" i="74"/>
  <c r="O132" i="74"/>
  <c r="O77" i="74"/>
  <c r="O116" i="74"/>
  <c r="O96" i="74"/>
  <c r="O76" i="74"/>
  <c r="O53" i="74"/>
  <c r="O127" i="74"/>
  <c r="O99" i="74"/>
  <c r="O80" i="74"/>
  <c r="O130" i="74"/>
  <c r="O126" i="74"/>
  <c r="O118" i="74"/>
  <c r="O105" i="74"/>
  <c r="O93" i="74"/>
  <c r="O74" i="74"/>
  <c r="O78" i="74"/>
  <c r="O128" i="74"/>
  <c r="O89" i="74"/>
  <c r="O61" i="74"/>
  <c r="O37" i="74"/>
  <c r="O47" i="74"/>
  <c r="O40" i="74"/>
  <c r="O71" i="74"/>
  <c r="O107" i="74"/>
  <c r="O57" i="74"/>
  <c r="O103" i="74"/>
  <c r="O114" i="74"/>
  <c r="O112" i="74"/>
  <c r="O72" i="74"/>
  <c r="O95" i="74"/>
  <c r="O110" i="74"/>
  <c r="O92" i="74"/>
  <c r="O87" i="74"/>
  <c r="O75" i="74"/>
  <c r="O106" i="74"/>
  <c r="O70" i="74"/>
  <c r="O68" i="74"/>
  <c r="O62" i="74"/>
  <c r="O121" i="74"/>
  <c r="O100" i="74"/>
  <c r="O55" i="74"/>
  <c r="O38" i="74"/>
  <c r="O109" i="74"/>
  <c r="O41" i="74"/>
  <c r="O51" i="74"/>
  <c r="O85" i="74"/>
  <c r="O97" i="74"/>
  <c r="O104" i="74"/>
  <c r="O36" i="74"/>
  <c r="O59" i="74"/>
  <c r="O31" i="74"/>
  <c r="O33" i="74"/>
  <c r="O98" i="74"/>
  <c r="O140" i="74"/>
  <c r="O65" i="74"/>
  <c r="O50" i="74"/>
  <c r="O54" i="74"/>
  <c r="O94" i="74"/>
  <c r="O48" i="74"/>
  <c r="O69" i="74"/>
  <c r="O49" i="74"/>
  <c r="O42" i="74"/>
  <c r="O35" i="74"/>
  <c r="O46" i="74"/>
  <c r="O90" i="74"/>
  <c r="O108" i="74"/>
  <c r="C155" i="74"/>
  <c r="C156" i="74" s="1"/>
  <c r="C171" i="74" s="1"/>
  <c r="O129" i="74"/>
  <c r="O131" i="74"/>
  <c r="O39" i="74"/>
  <c r="O79" i="74"/>
  <c r="O52" i="74"/>
  <c r="O136" i="74"/>
  <c r="O113" i="74"/>
  <c r="O119" i="74"/>
  <c r="O102" i="74"/>
  <c r="O67" i="74"/>
  <c r="O120" i="74"/>
  <c r="O138" i="74"/>
  <c r="O101" i="74"/>
  <c r="O115" i="74"/>
  <c r="O117" i="74"/>
  <c r="O86" i="74"/>
  <c r="O137" i="74"/>
  <c r="O58" i="74"/>
  <c r="O88" i="74"/>
  <c r="O81" i="74"/>
  <c r="O73" i="74"/>
  <c r="O60" i="74"/>
  <c r="L26" i="74"/>
  <c r="C168" i="73"/>
  <c r="C173" i="74" l="1"/>
  <c r="K141" i="73"/>
  <c r="J141" i="73"/>
  <c r="I141" i="73"/>
  <c r="H141" i="73"/>
  <c r="G141" i="73"/>
  <c r="F141" i="73"/>
  <c r="E141" i="73"/>
  <c r="D141" i="73"/>
  <c r="C141" i="73"/>
  <c r="L140" i="73"/>
  <c r="N140" i="73" s="1"/>
  <c r="L138" i="73"/>
  <c r="N138" i="73" s="1"/>
  <c r="L137" i="73"/>
  <c r="N137" i="73" s="1"/>
  <c r="L136" i="73"/>
  <c r="N136" i="73" s="1"/>
  <c r="L132" i="73"/>
  <c r="N132" i="73" s="1"/>
  <c r="L131" i="73"/>
  <c r="N131" i="73" s="1"/>
  <c r="L130" i="73"/>
  <c r="N130" i="73" s="1"/>
  <c r="L129" i="73"/>
  <c r="N129" i="73" s="1"/>
  <c r="L128" i="73"/>
  <c r="N128" i="73" s="1"/>
  <c r="L127" i="73"/>
  <c r="N127" i="73" s="1"/>
  <c r="L126" i="73"/>
  <c r="N126" i="73" s="1"/>
  <c r="L121" i="73"/>
  <c r="L120" i="73"/>
  <c r="N120" i="73" s="1"/>
  <c r="L119" i="73"/>
  <c r="N119" i="73" s="1"/>
  <c r="L118" i="73"/>
  <c r="N118" i="73" s="1"/>
  <c r="L117" i="73"/>
  <c r="N117" i="73" s="1"/>
  <c r="L116" i="73"/>
  <c r="N116" i="73" s="1"/>
  <c r="L115" i="73"/>
  <c r="N115" i="73" s="1"/>
  <c r="L114" i="73"/>
  <c r="N114" i="73" s="1"/>
  <c r="L113" i="73"/>
  <c r="N113" i="73" s="1"/>
  <c r="L112" i="73"/>
  <c r="N112" i="73" s="1"/>
  <c r="L111" i="73"/>
  <c r="N111" i="73" s="1"/>
  <c r="L110" i="73"/>
  <c r="N110" i="73" s="1"/>
  <c r="L109" i="73"/>
  <c r="N109" i="73" s="1"/>
  <c r="L108" i="73"/>
  <c r="N108" i="73" s="1"/>
  <c r="L107" i="73"/>
  <c r="N107" i="73" s="1"/>
  <c r="L106" i="73"/>
  <c r="N106" i="73" s="1"/>
  <c r="L105" i="73"/>
  <c r="N105" i="73" s="1"/>
  <c r="L104" i="73"/>
  <c r="N104" i="73" s="1"/>
  <c r="L103" i="73"/>
  <c r="N103" i="73" s="1"/>
  <c r="L102" i="73"/>
  <c r="N102" i="73" s="1"/>
  <c r="L101" i="73"/>
  <c r="N101" i="73" s="1"/>
  <c r="L100" i="73"/>
  <c r="N100" i="73" s="1"/>
  <c r="L99" i="73"/>
  <c r="N99" i="73" s="1"/>
  <c r="L98" i="73"/>
  <c r="N98" i="73" s="1"/>
  <c r="L97" i="73"/>
  <c r="N97" i="73" s="1"/>
  <c r="L96" i="73"/>
  <c r="N96" i="73" s="1"/>
  <c r="L95" i="73"/>
  <c r="N95" i="73" s="1"/>
  <c r="L94" i="73"/>
  <c r="N94" i="73" s="1"/>
  <c r="L93" i="73"/>
  <c r="L92" i="73"/>
  <c r="N92" i="73" s="1"/>
  <c r="L91" i="73"/>
  <c r="N91" i="73" s="1"/>
  <c r="L90" i="73"/>
  <c r="N90" i="73" s="1"/>
  <c r="L89" i="73"/>
  <c r="N89" i="73" s="1"/>
  <c r="L88" i="73"/>
  <c r="N88" i="73" s="1"/>
  <c r="L87" i="73"/>
  <c r="N87" i="73" s="1"/>
  <c r="L86" i="73"/>
  <c r="N86" i="73" s="1"/>
  <c r="L85" i="73"/>
  <c r="N85" i="73" s="1"/>
  <c r="L81" i="73"/>
  <c r="N81" i="73" s="1"/>
  <c r="L80" i="73"/>
  <c r="N80" i="73" s="1"/>
  <c r="L79" i="73"/>
  <c r="N79" i="73" s="1"/>
  <c r="L78" i="73"/>
  <c r="N78" i="73" s="1"/>
  <c r="L77" i="73"/>
  <c r="L76" i="73"/>
  <c r="N76" i="73" s="1"/>
  <c r="L75" i="73"/>
  <c r="N75" i="73" s="1"/>
  <c r="L74" i="73"/>
  <c r="N74" i="73" s="1"/>
  <c r="L73" i="73"/>
  <c r="N73" i="73" s="1"/>
  <c r="L72" i="73"/>
  <c r="N72" i="73" s="1"/>
  <c r="L71" i="73"/>
  <c r="N71" i="73" s="1"/>
  <c r="L70" i="73"/>
  <c r="N70" i="73" s="1"/>
  <c r="L69" i="73"/>
  <c r="N69" i="73" s="1"/>
  <c r="L68" i="73"/>
  <c r="N68" i="73" s="1"/>
  <c r="L67" i="73"/>
  <c r="N67" i="73" s="1"/>
  <c r="L65" i="73"/>
  <c r="N65" i="73" s="1"/>
  <c r="L64" i="73"/>
  <c r="N64" i="73" s="1"/>
  <c r="L63" i="73"/>
  <c r="N63" i="73" s="1"/>
  <c r="L62" i="73"/>
  <c r="N62" i="73" s="1"/>
  <c r="L61" i="73"/>
  <c r="L60" i="73"/>
  <c r="N60" i="73" s="1"/>
  <c r="L59" i="73"/>
  <c r="N59" i="73" s="1"/>
  <c r="L58" i="73"/>
  <c r="N58" i="73" s="1"/>
  <c r="L57" i="73"/>
  <c r="N57" i="73" s="1"/>
  <c r="L56" i="73"/>
  <c r="N56" i="73" s="1"/>
  <c r="L55" i="73"/>
  <c r="N55" i="73" s="1"/>
  <c r="L54" i="73"/>
  <c r="N54" i="73" s="1"/>
  <c r="L53" i="73"/>
  <c r="N53" i="73" s="1"/>
  <c r="L52" i="73"/>
  <c r="L51" i="73"/>
  <c r="N51" i="73" s="1"/>
  <c r="L50" i="73"/>
  <c r="N50" i="73" s="1"/>
  <c r="L49" i="73"/>
  <c r="N49" i="73" s="1"/>
  <c r="L48" i="73"/>
  <c r="N48" i="73" s="1"/>
  <c r="L47" i="73"/>
  <c r="N47" i="73" s="1"/>
  <c r="L46" i="73"/>
  <c r="N46" i="73" s="1"/>
  <c r="L42" i="73"/>
  <c r="L41" i="73"/>
  <c r="N41" i="73" s="1"/>
  <c r="L40" i="73"/>
  <c r="N40" i="73" s="1"/>
  <c r="L39" i="73"/>
  <c r="N39" i="73" s="1"/>
  <c r="L38" i="73"/>
  <c r="N38" i="73" s="1"/>
  <c r="L37" i="73"/>
  <c r="N37" i="73" s="1"/>
  <c r="L36" i="73"/>
  <c r="N36" i="73" s="1"/>
  <c r="L35" i="73"/>
  <c r="N35" i="73" s="1"/>
  <c r="L34" i="73"/>
  <c r="N34" i="73" s="1"/>
  <c r="L33" i="73"/>
  <c r="N33" i="73" s="1"/>
  <c r="L32" i="73"/>
  <c r="N32" i="73" s="1"/>
  <c r="L31" i="73"/>
  <c r="K26" i="73"/>
  <c r="J26" i="73"/>
  <c r="I26" i="73"/>
  <c r="H26" i="73"/>
  <c r="G26" i="73"/>
  <c r="F26" i="73"/>
  <c r="E26" i="73"/>
  <c r="D26" i="73"/>
  <c r="C26" i="73"/>
  <c r="L25" i="73"/>
  <c r="N25" i="73" s="1"/>
  <c r="L24" i="73"/>
  <c r="N24" i="73" s="1"/>
  <c r="L22" i="73"/>
  <c r="N22" i="73" s="1"/>
  <c r="L21" i="73"/>
  <c r="N21" i="73" s="1"/>
  <c r="L20" i="73"/>
  <c r="N20" i="73" s="1"/>
  <c r="L19" i="73"/>
  <c r="N19" i="73" s="1"/>
  <c r="L18" i="73"/>
  <c r="N18" i="73" s="1"/>
  <c r="L15" i="73"/>
  <c r="L13" i="73"/>
  <c r="N13" i="73" s="1"/>
  <c r="M26" i="73"/>
  <c r="L12" i="73"/>
  <c r="L11" i="73"/>
  <c r="L10" i="73"/>
  <c r="N121" i="73" l="1"/>
  <c r="N52" i="73"/>
  <c r="N42" i="73"/>
  <c r="O10" i="73"/>
  <c r="O18" i="73"/>
  <c r="O24" i="73"/>
  <c r="O13" i="73"/>
  <c r="O19" i="73"/>
  <c r="C154" i="73"/>
  <c r="O25" i="73"/>
  <c r="O22" i="73"/>
  <c r="O20" i="73"/>
  <c r="O21" i="73"/>
  <c r="O15" i="73"/>
  <c r="N12" i="73"/>
  <c r="N77" i="73"/>
  <c r="N93" i="73"/>
  <c r="M141" i="73"/>
  <c r="O47" i="73" s="1"/>
  <c r="O12" i="73"/>
  <c r="L141" i="73"/>
  <c r="L26" i="73"/>
  <c r="N31" i="73"/>
  <c r="N10" i="73"/>
  <c r="N61" i="73"/>
  <c r="N15" i="73"/>
  <c r="O70" i="73" l="1"/>
  <c r="O110" i="73"/>
  <c r="O77" i="73"/>
  <c r="O39" i="73"/>
  <c r="O117" i="73"/>
  <c r="O49" i="73"/>
  <c r="O90" i="73"/>
  <c r="O37" i="73"/>
  <c r="O55" i="73"/>
  <c r="O113" i="73"/>
  <c r="O85" i="73"/>
  <c r="O32" i="73"/>
  <c r="O138" i="73"/>
  <c r="O97" i="73"/>
  <c r="O31" i="73"/>
  <c r="O61" i="73"/>
  <c r="O54" i="73"/>
  <c r="O103" i="73"/>
  <c r="O73" i="73"/>
  <c r="N26" i="73"/>
  <c r="N141" i="73"/>
  <c r="O108" i="73"/>
  <c r="O104" i="73"/>
  <c r="O94" i="73"/>
  <c r="O74" i="73"/>
  <c r="O62" i="73"/>
  <c r="O132" i="73"/>
  <c r="O87" i="73"/>
  <c r="O128" i="73"/>
  <c r="O111" i="73"/>
  <c r="O67" i="73"/>
  <c r="O114" i="73"/>
  <c r="O107" i="73"/>
  <c r="O80" i="73"/>
  <c r="O58" i="73"/>
  <c r="O42" i="73"/>
  <c r="O131" i="73"/>
  <c r="O86" i="73"/>
  <c r="O136" i="73"/>
  <c r="O101" i="73"/>
  <c r="O71" i="73"/>
  <c r="O65" i="73"/>
  <c r="O48" i="73"/>
  <c r="O41" i="73"/>
  <c r="O33" i="73"/>
  <c r="O99" i="73"/>
  <c r="O121" i="73"/>
  <c r="O98" i="73"/>
  <c r="O57" i="73"/>
  <c r="O127" i="73"/>
  <c r="O115" i="73"/>
  <c r="C155" i="73"/>
  <c r="C156" i="73" s="1"/>
  <c r="O35" i="73"/>
  <c r="O102" i="73"/>
  <c r="O38" i="73"/>
  <c r="O105" i="73"/>
  <c r="O96" i="73"/>
  <c r="O75" i="73"/>
  <c r="O126" i="73"/>
  <c r="O118" i="73"/>
  <c r="O95" i="73"/>
  <c r="O109" i="73"/>
  <c r="O112" i="73"/>
  <c r="O91" i="73"/>
  <c r="O59" i="73"/>
  <c r="O40" i="73"/>
  <c r="O140" i="73"/>
  <c r="O78" i="73"/>
  <c r="O46" i="73"/>
  <c r="O89" i="73"/>
  <c r="O53" i="73"/>
  <c r="O137" i="73"/>
  <c r="O81" i="73"/>
  <c r="O72" i="73"/>
  <c r="O116" i="73"/>
  <c r="O68" i="73"/>
  <c r="O129" i="73"/>
  <c r="O106" i="73"/>
  <c r="O92" i="73"/>
  <c r="O88" i="73"/>
  <c r="O76" i="73"/>
  <c r="O60" i="73"/>
  <c r="O69" i="73"/>
  <c r="O130" i="73"/>
  <c r="O52" i="73"/>
  <c r="O93" i="73"/>
  <c r="O120" i="73"/>
  <c r="O119" i="73"/>
  <c r="O79" i="73"/>
  <c r="O36" i="73"/>
  <c r="O100" i="73"/>
  <c r="O51" i="73"/>
  <c r="O50" i="73"/>
  <c r="C173" i="73" l="1"/>
  <c r="C171" i="73"/>
  <c r="R53" i="85"/>
  <c r="R54" i="85" l="1"/>
  <c r="R50" i="85"/>
  <c r="R20" i="85" l="1"/>
  <c r="R26" i="85" s="1"/>
  <c r="Q26" i="85"/>
  <c r="Q144" i="85"/>
  <c r="R51" i="85"/>
  <c r="R144" i="85" s="1"/>
  <c r="S51" i="85" l="1"/>
  <c r="S18" i="85"/>
  <c r="S10" i="85"/>
  <c r="S24" i="85"/>
  <c r="C157" i="85"/>
  <c r="S21" i="85"/>
  <c r="S19" i="85"/>
  <c r="S22" i="85"/>
  <c r="S13" i="85"/>
  <c r="S15" i="85"/>
  <c r="S25" i="85"/>
  <c r="S12" i="85"/>
  <c r="S20" i="85"/>
  <c r="S117" i="85"/>
  <c r="S107" i="85"/>
  <c r="S49" i="85"/>
  <c r="S62" i="85"/>
  <c r="S36" i="85"/>
  <c r="S31" i="85"/>
  <c r="S100" i="85"/>
  <c r="S95" i="85"/>
  <c r="S111" i="85"/>
  <c r="S47" i="85"/>
  <c r="S98" i="85"/>
  <c r="S118" i="85"/>
  <c r="S33" i="85"/>
  <c r="S93" i="85"/>
  <c r="S77" i="85"/>
  <c r="S53" i="85"/>
  <c r="S50" i="85"/>
  <c r="S72" i="85"/>
  <c r="S38" i="85"/>
  <c r="S108" i="85"/>
  <c r="S61" i="85"/>
  <c r="S65" i="85"/>
  <c r="S113" i="85"/>
  <c r="S32" i="85"/>
  <c r="S73" i="85"/>
  <c r="S115" i="85"/>
  <c r="S116" i="85"/>
  <c r="S57" i="85"/>
  <c r="S101" i="85"/>
  <c r="S112" i="85"/>
  <c r="S132" i="85"/>
  <c r="S75" i="85"/>
  <c r="S85" i="85"/>
  <c r="S120" i="85"/>
  <c r="S37" i="85"/>
  <c r="S86" i="85"/>
  <c r="S138" i="85"/>
  <c r="S125" i="85"/>
  <c r="S68" i="85"/>
  <c r="S104" i="85"/>
  <c r="S42" i="85"/>
  <c r="S90" i="85"/>
  <c r="S54" i="85"/>
  <c r="S106" i="85"/>
  <c r="S88" i="85"/>
  <c r="S48" i="85"/>
  <c r="S128" i="85"/>
  <c r="S114" i="85"/>
  <c r="S105" i="85"/>
  <c r="S94" i="85"/>
  <c r="S58" i="85"/>
  <c r="S127" i="85"/>
  <c r="S69" i="85"/>
  <c r="S103" i="85"/>
  <c r="S35" i="85"/>
  <c r="S140" i="85"/>
  <c r="S119" i="85"/>
  <c r="S39" i="85"/>
  <c r="S87" i="85"/>
  <c r="S76" i="85"/>
  <c r="S78" i="85"/>
  <c r="S130" i="85"/>
  <c r="S97" i="85"/>
  <c r="S131" i="85"/>
  <c r="S70" i="85"/>
  <c r="S137" i="85"/>
  <c r="S46" i="85"/>
  <c r="S102" i="85"/>
  <c r="S74" i="85"/>
  <c r="S59" i="85"/>
  <c r="S52" i="85"/>
  <c r="S81" i="85"/>
  <c r="S40" i="85"/>
  <c r="S110" i="85"/>
  <c r="S45" i="85"/>
  <c r="S56" i="85"/>
  <c r="C158" i="85"/>
  <c r="S80" i="85"/>
  <c r="S91" i="85"/>
  <c r="S92" i="85"/>
  <c r="S79" i="85"/>
  <c r="S71" i="85"/>
  <c r="S60" i="85"/>
  <c r="S143" i="85"/>
  <c r="S67" i="85"/>
  <c r="S41" i="85"/>
  <c r="S136" i="85"/>
  <c r="S129" i="85"/>
  <c r="S96" i="85"/>
  <c r="S99" i="85"/>
  <c r="S84" i="85"/>
  <c r="S126" i="85"/>
  <c r="S55" i="85"/>
  <c r="S109" i="85"/>
  <c r="S89" i="85"/>
  <c r="C159" i="85" l="1"/>
  <c r="C176" i="85" s="1"/>
  <c r="C174" i="85" l="1"/>
</calcChain>
</file>

<file path=xl/sharedStrings.xml><?xml version="1.0" encoding="utf-8"?>
<sst xmlns="http://schemas.openxmlformats.org/spreadsheetml/2006/main" count="3332" uniqueCount="295">
  <si>
    <t>ASOCIACIÓN DEPORTIVA NACIONAL DE TIRO CON ARMAS DE CAZA</t>
  </si>
  <si>
    <t>EJECUCIÓN PRESUPUESTARIA</t>
  </si>
  <si>
    <t>(Cifras expresadas en quetzales)</t>
  </si>
  <si>
    <t>No.</t>
  </si>
  <si>
    <t xml:space="preserve">DESCRIPCIÓN </t>
  </si>
  <si>
    <t>Presupuesto</t>
  </si>
  <si>
    <t>Modificación I</t>
  </si>
  <si>
    <t>Modificación II</t>
  </si>
  <si>
    <t xml:space="preserve">Disponible  o </t>
  </si>
  <si>
    <t>Porcen-</t>
  </si>
  <si>
    <t>Renglón</t>
  </si>
  <si>
    <t>Autorizado</t>
  </si>
  <si>
    <t>Aumento</t>
  </si>
  <si>
    <t>Disminución</t>
  </si>
  <si>
    <t>Vigente</t>
  </si>
  <si>
    <t>Pend. Recibir</t>
  </si>
  <si>
    <t>taje</t>
  </si>
  <si>
    <t>11.9.90-01</t>
  </si>
  <si>
    <t>11.9.90-03</t>
  </si>
  <si>
    <t>11.9.90-04</t>
  </si>
  <si>
    <t>16.2.20-01</t>
  </si>
  <si>
    <t>Aporte CDAG Anual</t>
  </si>
  <si>
    <t>16.2.20-02</t>
  </si>
  <si>
    <t>16.2.20-03</t>
  </si>
  <si>
    <t>Aporte COG</t>
  </si>
  <si>
    <t>16.2.20-04</t>
  </si>
  <si>
    <t>Aporte Extraoridinario CDAG Juegos Nacionales</t>
  </si>
  <si>
    <t>11.9.90-02</t>
  </si>
  <si>
    <t>Impresión de boletaje</t>
  </si>
  <si>
    <t>16.2.20-05</t>
  </si>
  <si>
    <t>Aporte Extraordinario CDAG</t>
  </si>
  <si>
    <t>Aporte COG - SO</t>
  </si>
  <si>
    <t>TOTAL INGRESOS</t>
  </si>
  <si>
    <t>No. Ren.</t>
  </si>
  <si>
    <t>EGRESOS</t>
  </si>
  <si>
    <t>SERVICIOS  PERSONALES.</t>
  </si>
  <si>
    <t>011</t>
  </si>
  <si>
    <t>014</t>
  </si>
  <si>
    <t>015</t>
  </si>
  <si>
    <t>035</t>
  </si>
  <si>
    <t>Retribuciones a Destajo</t>
  </si>
  <si>
    <t>041</t>
  </si>
  <si>
    <t>051</t>
  </si>
  <si>
    <t>052</t>
  </si>
  <si>
    <t>071</t>
  </si>
  <si>
    <t>Aguinaldo</t>
  </si>
  <si>
    <t>072</t>
  </si>
  <si>
    <t>073</t>
  </si>
  <si>
    <t>Bono Vacacional</t>
  </si>
  <si>
    <t>SERVICIOS  NO  PERSONALES.</t>
  </si>
  <si>
    <t>Energía Eléctrica</t>
  </si>
  <si>
    <t>Telefonía</t>
  </si>
  <si>
    <t>Correos y Telégrafos</t>
  </si>
  <si>
    <t>Otros Viáticos y Gastos Conexos</t>
  </si>
  <si>
    <t>Fletes</t>
  </si>
  <si>
    <t>Almacenaje</t>
  </si>
  <si>
    <t>Derechos Bienes Intangibles</t>
  </si>
  <si>
    <t>Servicios de Capacitación</t>
  </si>
  <si>
    <t>Otros Estudios y Servicios</t>
  </si>
  <si>
    <t>Impuestos Derechos y Tasas</t>
  </si>
  <si>
    <t>MATERIALES Y SUMINISTROS.</t>
  </si>
  <si>
    <t>Alimentos para Personas</t>
  </si>
  <si>
    <t>Acabados Textiles</t>
  </si>
  <si>
    <t>Prendas de Vestir</t>
  </si>
  <si>
    <t>Papel de Escritorio</t>
  </si>
  <si>
    <t>Productos de Papel o Cartón</t>
  </si>
  <si>
    <t>Libros Revistas y Periódicos</t>
  </si>
  <si>
    <t>Artículos de Caucho</t>
  </si>
  <si>
    <t>Combustibles y Lubricantes</t>
  </si>
  <si>
    <t>Tintes, Pinturas y Colorantes</t>
  </si>
  <si>
    <t>Productos de Arcilla</t>
  </si>
  <si>
    <t>Cemento</t>
  </si>
  <si>
    <t>Estructuras Metálicas Acabadas</t>
  </si>
  <si>
    <t>Materiales y Equipos Diversos (Munic)</t>
  </si>
  <si>
    <t>Útiles de Oficina</t>
  </si>
  <si>
    <t>Útiles Deportivos y Recreativos</t>
  </si>
  <si>
    <t>Utiles de Cocina y Comedor</t>
  </si>
  <si>
    <t>Accesorios y Repuestos en General</t>
  </si>
  <si>
    <t>Otros Materiales y Suministros</t>
  </si>
  <si>
    <t>PROPIEDAD, PLANTA, EQUIPO E INTANGIBLES.</t>
  </si>
  <si>
    <t>323</t>
  </si>
  <si>
    <t>TRANSFERENCIAS CORRIENTES.</t>
  </si>
  <si>
    <t>Indemnizaciones al Personal</t>
  </si>
  <si>
    <t>RESUMEN</t>
  </si>
  <si>
    <t>Ejecución Presupuestaria</t>
  </si>
  <si>
    <t>Ingresos Percibidos</t>
  </si>
  <si>
    <t>Egresos Ejecutados</t>
  </si>
  <si>
    <t>Resultado del Ejercicio</t>
  </si>
  <si>
    <t>Rentas Consignadas</t>
  </si>
  <si>
    <t>PRESIDENTE</t>
  </si>
  <si>
    <t>TOTAL EGRESOS</t>
  </si>
  <si>
    <t>111</t>
  </si>
  <si>
    <t>113</t>
  </si>
  <si>
    <t>114</t>
  </si>
  <si>
    <t>121</t>
  </si>
  <si>
    <t>122</t>
  </si>
  <si>
    <t>131</t>
  </si>
  <si>
    <t>135</t>
  </si>
  <si>
    <t>141</t>
  </si>
  <si>
    <t>142</t>
  </si>
  <si>
    <t>143</t>
  </si>
  <si>
    <t>158</t>
  </si>
  <si>
    <t>162</t>
  </si>
  <si>
    <t>164</t>
  </si>
  <si>
    <t>165</t>
  </si>
  <si>
    <t>168</t>
  </si>
  <si>
    <t>171</t>
  </si>
  <si>
    <t>174</t>
  </si>
  <si>
    <t>181</t>
  </si>
  <si>
    <t>183</t>
  </si>
  <si>
    <t>184</t>
  </si>
  <si>
    <t>185</t>
  </si>
  <si>
    <t>186</t>
  </si>
  <si>
    <t>187</t>
  </si>
  <si>
    <t>188</t>
  </si>
  <si>
    <t>189</t>
  </si>
  <si>
    <t>191</t>
  </si>
  <si>
    <t>194</t>
  </si>
  <si>
    <t>195</t>
  </si>
  <si>
    <t>196</t>
  </si>
  <si>
    <t>199</t>
  </si>
  <si>
    <t>211</t>
  </si>
  <si>
    <t>232</t>
  </si>
  <si>
    <t>233</t>
  </si>
  <si>
    <t>241</t>
  </si>
  <si>
    <t>243</t>
  </si>
  <si>
    <t>244</t>
  </si>
  <si>
    <t>245</t>
  </si>
  <si>
    <t>253</t>
  </si>
  <si>
    <t>254</t>
  </si>
  <si>
    <t>262</t>
  </si>
  <si>
    <t>266</t>
  </si>
  <si>
    <t>267</t>
  </si>
  <si>
    <t>268</t>
  </si>
  <si>
    <t>269</t>
  </si>
  <si>
    <t>271</t>
  </si>
  <si>
    <t>273</t>
  </si>
  <si>
    <t>283</t>
  </si>
  <si>
    <t>284</t>
  </si>
  <si>
    <t>285</t>
  </si>
  <si>
    <t>291</t>
  </si>
  <si>
    <t>292</t>
  </si>
  <si>
    <t>294</t>
  </si>
  <si>
    <t>296</t>
  </si>
  <si>
    <t>297</t>
  </si>
  <si>
    <t>298</t>
  </si>
  <si>
    <t>299</t>
  </si>
  <si>
    <t xml:space="preserve">Descuento Fianza de Fidelidad sueldos </t>
  </si>
  <si>
    <t>ISR Retenido Actividades Lucrativas</t>
  </si>
  <si>
    <t>ISR Retenido sobre rentas del trabajo</t>
  </si>
  <si>
    <t>IGSS Cuota Patronos, trabajadores  e Intecap por Pagar</t>
  </si>
  <si>
    <t>Servicios de Vigilancia</t>
  </si>
  <si>
    <t>Personal Permanente</t>
  </si>
  <si>
    <t>Complemento Calidad Profesional al Personal Permanente</t>
  </si>
  <si>
    <t>Complementos Específicos al Personal Permanente</t>
  </si>
  <si>
    <t>Servicios extraordinarios de personal permanente</t>
  </si>
  <si>
    <t>Aporte patronal al IGSS</t>
  </si>
  <si>
    <t>Aporte patronal al Intecap</t>
  </si>
  <si>
    <t>Bonificación Anual (Bono 14)</t>
  </si>
  <si>
    <t>Divulgación e Información</t>
  </si>
  <si>
    <t>Impresión, Encuadernación y Reproducción</t>
  </si>
  <si>
    <t>Viáticos en el Exterior</t>
  </si>
  <si>
    <t>Transporte de Personas</t>
  </si>
  <si>
    <t>Mantenimiento y Reparación de Equipo de Oficina</t>
  </si>
  <si>
    <t>Mantenimiento y Reparación de Equipos Educacionales y Recreativos</t>
  </si>
  <si>
    <t>Mantenimiento y Reparación de Medios de Transporte</t>
  </si>
  <si>
    <t>Mantenimiento y Reparación de Equipo de Cómputo</t>
  </si>
  <si>
    <t>Mantenimiento y Reparación de Edificios</t>
  </si>
  <si>
    <t>Mantenimiento y Reparación de Instalaciones</t>
  </si>
  <si>
    <t>Estudios, Invest. Proyectos Pre-Factibilidad y Factibilidad</t>
  </si>
  <si>
    <t>Servicios Jurídicos</t>
  </si>
  <si>
    <t>Servicios Económicos, Financieros, Contables y Auditoría</t>
  </si>
  <si>
    <t>Servicios de Informática y Sistemas Computarizados</t>
  </si>
  <si>
    <t>Servicios por Actuaciones Artísticas y Deportivas</t>
  </si>
  <si>
    <t>Servicios de Ingeniería, Arquitectura y Supervisión de Obras</t>
  </si>
  <si>
    <t>Primas y Gastos de Seguros y Fianzas</t>
  </si>
  <si>
    <t>Gastos Bancarios, Comisiones y Otros Gastos</t>
  </si>
  <si>
    <t>Servicios de Atención y Protocolo</t>
  </si>
  <si>
    <t>197</t>
  </si>
  <si>
    <t>Otros Servicios</t>
  </si>
  <si>
    <t>Otros Ingresos No Tributarios</t>
  </si>
  <si>
    <t>Cuota de afiliación</t>
  </si>
  <si>
    <t>Aporte donación de Socios para Cartuchos,Platillo y Otros</t>
  </si>
  <si>
    <t>Aporte donación de Jóvenes de Escuela de Vacaciones</t>
  </si>
  <si>
    <t>Rentas de la Propiedad</t>
  </si>
  <si>
    <t>15.1.30</t>
  </si>
  <si>
    <t>Disminución de Disponibilidades</t>
  </si>
  <si>
    <t>Saldo de Caja ASOTAC</t>
  </si>
  <si>
    <t>23.1.10-03</t>
  </si>
  <si>
    <t>23.1.10-01</t>
  </si>
  <si>
    <t>Saldo Caja Aporte Extra. CDAG</t>
  </si>
  <si>
    <t>Productos Agroforestales, Madera, Corcho y sus Manufacturas</t>
  </si>
  <si>
    <t>Piedra, Arcilla y Arena</t>
  </si>
  <si>
    <t>Otros Minerales</t>
  </si>
  <si>
    <t>Productos de Artes Gráficas</t>
  </si>
  <si>
    <t>Llantas y Neumáticos</t>
  </si>
  <si>
    <t>261</t>
  </si>
  <si>
    <t>Elementos y Compuestos Químicos</t>
  </si>
  <si>
    <t>Productos Medicinales y Farmacéuticos</t>
  </si>
  <si>
    <t>Productos Plásticos, Nylon, Vinil y PVC</t>
  </si>
  <si>
    <t>Otros Productos Químicos y Conexos</t>
  </si>
  <si>
    <t>Productos de Vidrio</t>
  </si>
  <si>
    <t>Productos de Loza y Porcelana</t>
  </si>
  <si>
    <t>Productos de Cemento, Pómez, Asbesto y Yeso</t>
  </si>
  <si>
    <t>Otros Productos de Minerales no Metálicos</t>
  </si>
  <si>
    <t>Productos Siderúrgicos</t>
  </si>
  <si>
    <t>Productos de Metal y sus Aleaciones</t>
  </si>
  <si>
    <t>Herramientas Menores</t>
  </si>
  <si>
    <t>Otros Productos Metálicos</t>
  </si>
  <si>
    <t>Productos Sanitarios, de Limpieza y de Uso Personal</t>
  </si>
  <si>
    <t>Materiales, Productos y Accesorios Eléctricos, Cableado Estructurado de Redes Informáticas y Telefónicas</t>
  </si>
  <si>
    <t>322</t>
  </si>
  <si>
    <t>Mobiliario y Equipo de Oficina</t>
  </si>
  <si>
    <t>Mobiliario y Equipo Médico-Sanitario y de Laboratorio</t>
  </si>
  <si>
    <t>324</t>
  </si>
  <si>
    <t>Equipo Educacional, Cultural y Recreativo (ESC</t>
  </si>
  <si>
    <t>326</t>
  </si>
  <si>
    <t>Equipo para Comunicaciones</t>
  </si>
  <si>
    <t>329</t>
  </si>
  <si>
    <t>Otras Maquinarias y Equipos</t>
  </si>
  <si>
    <t>332</t>
  </si>
  <si>
    <t>Construcciones de Bienes Nacionales de Uso no Común</t>
  </si>
  <si>
    <t>413</t>
  </si>
  <si>
    <t>415</t>
  </si>
  <si>
    <t>Vacaciones Pagadas por Retiro</t>
  </si>
  <si>
    <t>419</t>
  </si>
  <si>
    <t>Otras Transferencias a Personas Individuales</t>
  </si>
  <si>
    <t>472</t>
  </si>
  <si>
    <t>Transferencias a Organismos e Instituciones Internacionales</t>
  </si>
  <si>
    <t>Aporte de Entidades Descentralizadas y Autónomas</t>
  </si>
  <si>
    <t>16</t>
  </si>
  <si>
    <t>TRANSFERENCIAS CORRIENTES</t>
  </si>
  <si>
    <t>16.2.20</t>
  </si>
  <si>
    <t>Por Depósitos (cuentas bancarias)</t>
  </si>
  <si>
    <t>Equipo de computación</t>
  </si>
  <si>
    <t>Servicios Médico - Sanitarios</t>
  </si>
  <si>
    <t xml:space="preserve">Mantenimiento y Reparación de Otras Maquinaria </t>
  </si>
  <si>
    <t>Modificación IV</t>
  </si>
  <si>
    <t>SALDO EN CAJA AL 31 DE DICIEMBRE DE 2020</t>
  </si>
  <si>
    <t>Reembolso a Comité Olimpico Fondos 2021</t>
  </si>
  <si>
    <t>EJECUCION</t>
  </si>
  <si>
    <t xml:space="preserve">Descuento Boleto de ornato </t>
  </si>
  <si>
    <t xml:space="preserve">                COORDINADOR ADMINISTRATIVO FINANCIERO</t>
  </si>
  <si>
    <t>O29</t>
  </si>
  <si>
    <t>Otras remuneraciones de Personal Temporal</t>
  </si>
  <si>
    <t>Arrendamiento de Edificios y locales</t>
  </si>
  <si>
    <t>AUMENTO I</t>
  </si>
  <si>
    <t>GERENTE</t>
  </si>
  <si>
    <t>IVA Facturas Especiales</t>
  </si>
  <si>
    <t>Cheque Anulado 77850450 Febrero 2022</t>
  </si>
  <si>
    <t>O23</t>
  </si>
  <si>
    <r>
      <t xml:space="preserve"> </t>
    </r>
    <r>
      <rPr>
        <sz val="14"/>
        <color theme="1"/>
        <rFont val="Calibri"/>
        <family val="2"/>
        <scheme val="minor"/>
      </rPr>
      <t>Interinatos por Licencias y Becas</t>
    </r>
  </si>
  <si>
    <t xml:space="preserve"> ELMER ARTURO VENTURA</t>
  </si>
  <si>
    <t xml:space="preserve"> pendientes de liquidar</t>
  </si>
  <si>
    <t>CRISTIAN DIEGO BERMUDEZ APEL</t>
  </si>
  <si>
    <t>JUAN RAMON SCHAEFFER SAMAYOA</t>
  </si>
  <si>
    <t>SALDO EN CAJA AL 31 DE ENERO DE 2024</t>
  </si>
  <si>
    <t>Saldo en Caja al 31 de Diciembre de 2023</t>
  </si>
  <si>
    <t>Rentas Consignadas Diciembre 2023</t>
  </si>
  <si>
    <t>Cuenta por Liquidar Diciembre 2023</t>
  </si>
  <si>
    <t>MARIA DE LOS ANGELES SALAZAR GRIJALVA</t>
  </si>
  <si>
    <t xml:space="preserve">TESORERO                      </t>
  </si>
  <si>
    <t>DEL 01 DE ENERO AL 31 DE DICIEMBRE 2024</t>
  </si>
  <si>
    <t>Mantenimiento y Reparación de Otras Obras e instalaciones</t>
  </si>
  <si>
    <t>Transferencia a Entidades Descentralizadas Y Autonomas</t>
  </si>
  <si>
    <t>SALDO EN CAJA AL 29 DE FEBRERO DE 2024</t>
  </si>
  <si>
    <t>SALDO EN CAJA AL 31 DE MARZO DE 2024</t>
  </si>
  <si>
    <t>SALDO EN CAJA AL 30 DE ABRIL DE 2024</t>
  </si>
  <si>
    <t>Equipo de Transporte</t>
  </si>
  <si>
    <t>Modificación III</t>
  </si>
  <si>
    <t>SALDO EN CAJA AL 31 DE MAYO DE 2024</t>
  </si>
  <si>
    <t>SALDO EN CAJA AL 30 DE JUNIO DE 2024</t>
  </si>
  <si>
    <t>SALDO EN CAJA AL 31 DE JULIO DE 2024</t>
  </si>
  <si>
    <t>SALDO EN CAJA AL 31 DE AGOSTO DE 2024</t>
  </si>
  <si>
    <t>Reconocimiento de Gastos</t>
  </si>
  <si>
    <t>SALDO EN CAJA AL 30 DE SEPTIEMBRE DE 2024</t>
  </si>
  <si>
    <t>Modificación V</t>
  </si>
  <si>
    <t>Sentencia Judicial</t>
  </si>
  <si>
    <t>ASIGNACIONES GLOBALES</t>
  </si>
  <si>
    <t>ALEX DANIEL SOTO LÓPEZ</t>
  </si>
  <si>
    <r>
      <t xml:space="preserve"> </t>
    </r>
    <r>
      <rPr>
        <sz val="12"/>
        <color theme="1"/>
        <rFont val="Calibri"/>
        <family val="2"/>
        <scheme val="minor"/>
      </rPr>
      <t>Interinatos por Licencias y Becas</t>
    </r>
  </si>
  <si>
    <t>Aporte Extraordinario CDAG Juegos Nacionales</t>
  </si>
  <si>
    <t>Interinatos por Licencias y Becas</t>
  </si>
  <si>
    <t>SALDO EN CAJA AL 31 DE OCTUBRE DE 2024</t>
  </si>
  <si>
    <t>ING. BOJORGUEZ</t>
  </si>
  <si>
    <t>SALDO EN CAJA AL 30 DE NOVIEMBRE DE 2024</t>
  </si>
  <si>
    <t>ajuste</t>
  </si>
  <si>
    <t>ISR Retenido Actividades Lucrativas y viáticos</t>
  </si>
  <si>
    <t xml:space="preserve">Roberto Hernández </t>
  </si>
  <si>
    <t>ISR Pedro Martin Fariza (corregir)</t>
  </si>
  <si>
    <t>Modificación VI</t>
  </si>
  <si>
    <t>EJECUCIÓN</t>
  </si>
  <si>
    <t>SALDO EN CAJA AL 31 DE DICIEMBRE DE 2024</t>
  </si>
  <si>
    <t>ISR James Todd Graves</t>
  </si>
  <si>
    <t xml:space="preserve">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</si>
</sst>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.5"/>
      <color theme="1"/>
      <name val="Arial"/>
      <family val="2"/>
    </font>
    <font>
      <sz val="11.5"/>
      <color theme="1"/>
      <name val="Arial"/>
      <family val="2"/>
    </font>
    <font>
      <b/>
      <sz val="12"/>
      <color rgb="FF0000CC"/>
      <name val="Arial"/>
      <family val="2"/>
    </font>
    <font>
      <sz val="12"/>
      <name val="Arial"/>
      <family val="2"/>
    </font>
    <font>
      <sz val="11.5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u/>
      <sz val="12"/>
      <name val="Arial"/>
      <family val="2"/>
    </font>
    <font>
      <b/>
      <sz val="12"/>
      <name val="Arial"/>
      <family val="2"/>
    </font>
    <font>
      <b/>
      <sz val="11.5"/>
      <name val="Arial"/>
      <family val="2"/>
    </font>
    <font>
      <sz val="5"/>
      <color theme="1"/>
      <name val="Arial"/>
      <family val="2"/>
    </font>
    <font>
      <sz val="11"/>
      <name val="Arial"/>
      <family val="2"/>
    </font>
    <font>
      <sz val="11.5"/>
      <color theme="0"/>
      <name val="Arial"/>
      <family val="2"/>
    </font>
    <font>
      <sz val="11.5"/>
      <color rgb="FFFF0000"/>
      <name val="Arial"/>
      <family val="2"/>
    </font>
    <font>
      <sz val="12"/>
      <color rgb="FFFF0000"/>
      <name val="Arial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0" fillId="0" borderId="0" applyFont="0" applyFill="0" applyBorder="0" applyAlignment="0" applyProtection="0"/>
  </cellStyleXfs>
  <cellXfs count="138">
    <xf numFmtId="0" fontId="0" fillId="0" borderId="0" xfId="0"/>
    <xf numFmtId="0" fontId="3" fillId="0" borderId="2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43" fontId="3" fillId="0" borderId="4" xfId="0" applyNumberFormat="1" applyFont="1" applyBorder="1" applyAlignment="1">
      <alignment horizontal="centerContinuous"/>
    </xf>
    <xf numFmtId="43" fontId="4" fillId="0" borderId="0" xfId="0" applyNumberFormat="1" applyFont="1"/>
    <xf numFmtId="0" fontId="3" fillId="0" borderId="14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43" fontId="3" fillId="0" borderId="15" xfId="0" applyNumberFormat="1" applyFont="1" applyBorder="1" applyAlignment="1">
      <alignment horizontal="centerContinuous"/>
    </xf>
    <xf numFmtId="0" fontId="4" fillId="0" borderId="5" xfId="0" applyFont="1" applyBorder="1"/>
    <xf numFmtId="0" fontId="4" fillId="0" borderId="6" xfId="0" applyFont="1" applyBorder="1"/>
    <xf numFmtId="43" fontId="4" fillId="0" borderId="7" xfId="0" applyNumberFormat="1" applyFont="1" applyBorder="1"/>
    <xf numFmtId="0" fontId="4" fillId="0" borderId="0" xfId="0" applyFont="1"/>
    <xf numFmtId="43" fontId="10" fillId="0" borderId="0" xfId="0" applyNumberFormat="1" applyFont="1"/>
    <xf numFmtId="164" fontId="11" fillId="0" borderId="0" xfId="1" applyFont="1" applyFill="1"/>
    <xf numFmtId="164" fontId="4" fillId="0" borderId="0" xfId="0" applyNumberFormat="1" applyFont="1"/>
    <xf numFmtId="0" fontId="3" fillId="0" borderId="0" xfId="0" applyFont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centerContinuous"/>
    </xf>
    <xf numFmtId="0" fontId="3" fillId="0" borderId="1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1" xfId="0" applyFont="1" applyBorder="1"/>
    <xf numFmtId="164" fontId="5" fillId="0" borderId="11" xfId="1" applyFont="1" applyFill="1" applyBorder="1"/>
    <xf numFmtId="0" fontId="5" fillId="0" borderId="11" xfId="0" applyFont="1" applyBorder="1"/>
    <xf numFmtId="0" fontId="3" fillId="0" borderId="12" xfId="0" applyFont="1" applyBorder="1"/>
    <xf numFmtId="164" fontId="5" fillId="0" borderId="12" xfId="1" applyFont="1" applyFill="1" applyBorder="1"/>
    <xf numFmtId="9" fontId="5" fillId="0" borderId="12" xfId="2" applyFont="1" applyFill="1" applyBorder="1"/>
    <xf numFmtId="164" fontId="6" fillId="0" borderId="12" xfId="1" applyFont="1" applyFill="1" applyBorder="1"/>
    <xf numFmtId="0" fontId="4" fillId="0" borderId="12" xfId="0" applyFont="1" applyBorder="1"/>
    <xf numFmtId="0" fontId="4" fillId="0" borderId="13" xfId="0" applyFont="1" applyBorder="1"/>
    <xf numFmtId="164" fontId="6" fillId="0" borderId="13" xfId="1" applyFont="1" applyFill="1" applyBorder="1"/>
    <xf numFmtId="0" fontId="4" fillId="0" borderId="1" xfId="0" applyFont="1" applyBorder="1"/>
    <xf numFmtId="0" fontId="3" fillId="0" borderId="1" xfId="0" applyFont="1" applyBorder="1"/>
    <xf numFmtId="164" fontId="5" fillId="0" borderId="1" xfId="1" applyFont="1" applyFill="1" applyBorder="1"/>
    <xf numFmtId="0" fontId="4" fillId="0" borderId="11" xfId="0" applyFont="1" applyBorder="1"/>
    <xf numFmtId="164" fontId="6" fillId="0" borderId="11" xfId="1" applyFont="1" applyFill="1" applyBorder="1"/>
    <xf numFmtId="9" fontId="6" fillId="0" borderId="11" xfId="2" applyFont="1" applyFill="1" applyBorder="1"/>
    <xf numFmtId="9" fontId="6" fillId="0" borderId="12" xfId="2" applyFont="1" applyFill="1" applyBorder="1"/>
    <xf numFmtId="0" fontId="7" fillId="0" borderId="12" xfId="0" applyFont="1" applyBorder="1" applyAlignment="1">
      <alignment horizontal="left" indent="2"/>
    </xf>
    <xf numFmtId="0" fontId="7" fillId="0" borderId="12" xfId="0" applyFont="1" applyBorder="1"/>
    <xf numFmtId="0" fontId="4" fillId="0" borderId="12" xfId="0" applyFont="1" applyBorder="1" applyAlignment="1">
      <alignment horizontal="left" indent="2"/>
    </xf>
    <xf numFmtId="0" fontId="8" fillId="0" borderId="12" xfId="0" applyFont="1" applyBorder="1" applyAlignment="1">
      <alignment horizontal="left" indent="2"/>
    </xf>
    <xf numFmtId="0" fontId="8" fillId="0" borderId="12" xfId="0" applyFont="1" applyBorder="1"/>
    <xf numFmtId="164" fontId="9" fillId="0" borderId="12" xfId="1" applyFont="1" applyFill="1" applyBorder="1"/>
    <xf numFmtId="9" fontId="6" fillId="0" borderId="1" xfId="2" applyFont="1" applyFill="1" applyBorder="1"/>
    <xf numFmtId="0" fontId="4" fillId="0" borderId="0" xfId="0" applyFont="1" applyAlignment="1">
      <alignment horizontal="left" indent="2"/>
    </xf>
    <xf numFmtId="43" fontId="2" fillId="0" borderId="0" xfId="0" applyNumberFormat="1" applyFont="1"/>
    <xf numFmtId="0" fontId="8" fillId="0" borderId="2" xfId="0" applyFont="1" applyBorder="1"/>
    <xf numFmtId="0" fontId="8" fillId="0" borderId="3" xfId="0" applyFont="1" applyBorder="1"/>
    <xf numFmtId="164" fontId="8" fillId="0" borderId="4" xfId="0" applyNumberFormat="1" applyFont="1" applyBorder="1"/>
    <xf numFmtId="0" fontId="12" fillId="0" borderId="14" xfId="0" applyFont="1" applyBorder="1" applyAlignment="1">
      <alignment horizontal="left" indent="1"/>
    </xf>
    <xf numFmtId="0" fontId="8" fillId="0" borderId="0" xfId="0" applyFont="1"/>
    <xf numFmtId="164" fontId="8" fillId="0" borderId="15" xfId="0" applyNumberFormat="1" applyFont="1" applyBorder="1"/>
    <xf numFmtId="0" fontId="8" fillId="0" borderId="14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0" xfId="0" applyFont="1"/>
    <xf numFmtId="0" fontId="13" fillId="0" borderId="5" xfId="0" applyFont="1" applyBorder="1" applyAlignment="1">
      <alignment horizontal="left" indent="1"/>
    </xf>
    <xf numFmtId="0" fontId="13" fillId="0" borderId="6" xfId="0" applyFont="1" applyBorder="1"/>
    <xf numFmtId="164" fontId="4" fillId="0" borderId="0" xfId="1" applyFont="1" applyFill="1"/>
    <xf numFmtId="0" fontId="13" fillId="0" borderId="0" xfId="0" applyFont="1" applyAlignment="1">
      <alignment horizontal="centerContinuous"/>
    </xf>
    <xf numFmtId="0" fontId="13" fillId="0" borderId="1" xfId="0" applyFont="1" applyBorder="1" applyAlignment="1">
      <alignment horizontal="center"/>
    </xf>
    <xf numFmtId="164" fontId="9" fillId="0" borderId="11" xfId="1" applyFont="1" applyFill="1" applyBorder="1"/>
    <xf numFmtId="164" fontId="9" fillId="0" borderId="13" xfId="1" applyFont="1" applyFill="1" applyBorder="1"/>
    <xf numFmtId="164" fontId="14" fillId="0" borderId="1" xfId="1" applyFont="1" applyFill="1" applyBorder="1"/>
    <xf numFmtId="43" fontId="16" fillId="0" borderId="0" xfId="0" applyNumberFormat="1" applyFont="1"/>
    <xf numFmtId="43" fontId="8" fillId="0" borderId="0" xfId="0" applyNumberFormat="1" applyFont="1"/>
    <xf numFmtId="164" fontId="8" fillId="0" borderId="0" xfId="1" applyFont="1" applyFill="1"/>
    <xf numFmtId="164" fontId="14" fillId="0" borderId="7" xfId="1" applyFont="1" applyFill="1" applyBorder="1"/>
    <xf numFmtId="164" fontId="9" fillId="0" borderId="15" xfId="1" applyFont="1" applyFill="1" applyBorder="1"/>
    <xf numFmtId="164" fontId="9" fillId="0" borderId="16" xfId="1" applyFont="1" applyFill="1" applyBorder="1"/>
    <xf numFmtId="164" fontId="14" fillId="0" borderId="15" xfId="1" applyFont="1" applyFill="1" applyBorder="1"/>
    <xf numFmtId="164" fontId="14" fillId="0" borderId="16" xfId="1" applyFont="1" applyFill="1" applyBorder="1"/>
    <xf numFmtId="0" fontId="13" fillId="0" borderId="9" xfId="0" applyFont="1" applyBorder="1" applyAlignment="1">
      <alignment horizontal="center"/>
    </xf>
    <xf numFmtId="0" fontId="8" fillId="0" borderId="0" xfId="0" applyFont="1" applyAlignment="1">
      <alignment horizontal="left" indent="7"/>
    </xf>
    <xf numFmtId="0" fontId="4" fillId="0" borderId="3" xfId="0" applyFont="1" applyBorder="1"/>
    <xf numFmtId="164" fontId="15" fillId="0" borderId="3" xfId="0" applyNumberFormat="1" applyFont="1" applyBorder="1"/>
    <xf numFmtId="164" fontId="6" fillId="0" borderId="3" xfId="1" applyFont="1" applyFill="1" applyBorder="1"/>
    <xf numFmtId="164" fontId="17" fillId="0" borderId="12" xfId="1" applyFont="1" applyFill="1" applyBorder="1"/>
    <xf numFmtId="43" fontId="4" fillId="0" borderId="14" xfId="0" applyNumberFormat="1" applyFont="1" applyBorder="1"/>
    <xf numFmtId="164" fontId="9" fillId="0" borderId="14" xfId="1" applyFont="1" applyFill="1" applyBorder="1"/>
    <xf numFmtId="164" fontId="18" fillId="0" borderId="14" xfId="1" applyFont="1" applyFill="1" applyBorder="1"/>
    <xf numFmtId="43" fontId="19" fillId="0" borderId="0" xfId="0" applyNumberFormat="1" applyFont="1"/>
    <xf numFmtId="0" fontId="8" fillId="0" borderId="0" xfId="0" applyFont="1" applyAlignment="1">
      <alignment horizontal="left" indent="1"/>
    </xf>
    <xf numFmtId="0" fontId="2" fillId="0" borderId="0" xfId="0" applyFont="1"/>
    <xf numFmtId="0" fontId="2" fillId="0" borderId="0" xfId="0" applyFont="1" applyAlignment="1">
      <alignment horizontal="left" indent="7"/>
    </xf>
    <xf numFmtId="164" fontId="22" fillId="0" borderId="0" xfId="1" applyFont="1" applyFill="1"/>
    <xf numFmtId="43" fontId="23" fillId="0" borderId="0" xfId="0" applyNumberFormat="1" applyFont="1"/>
    <xf numFmtId="165" fontId="5" fillId="0" borderId="12" xfId="2" applyNumberFormat="1" applyFont="1" applyFill="1" applyBorder="1"/>
    <xf numFmtId="164" fontId="9" fillId="3" borderId="11" xfId="1" applyFont="1" applyFill="1" applyBorder="1"/>
    <xf numFmtId="164" fontId="9" fillId="3" borderId="12" xfId="1" applyFont="1" applyFill="1" applyBorder="1"/>
    <xf numFmtId="164" fontId="9" fillId="3" borderId="13" xfId="1" applyFont="1" applyFill="1" applyBorder="1"/>
    <xf numFmtId="164" fontId="5" fillId="3" borderId="1" xfId="1" applyFont="1" applyFill="1" applyBorder="1"/>
    <xf numFmtId="164" fontId="14" fillId="3" borderId="1" xfId="1" applyFont="1" applyFill="1" applyBorder="1"/>
    <xf numFmtId="0" fontId="19" fillId="0" borderId="12" xfId="0" applyFont="1" applyBorder="1" applyAlignment="1">
      <alignment horizontal="left" indent="2"/>
    </xf>
    <xf numFmtId="164" fontId="9" fillId="4" borderId="12" xfId="1" applyFont="1" applyFill="1" applyBorder="1"/>
    <xf numFmtId="164" fontId="9" fillId="5" borderId="12" xfId="1" applyFont="1" applyFill="1" applyBorder="1"/>
    <xf numFmtId="164" fontId="9" fillId="6" borderId="12" xfId="1" applyFont="1" applyFill="1" applyBorder="1"/>
    <xf numFmtId="164" fontId="9" fillId="2" borderId="12" xfId="1" applyFont="1" applyFill="1" applyBorder="1"/>
    <xf numFmtId="0" fontId="3" fillId="0" borderId="9" xfId="0" applyFont="1" applyBorder="1" applyAlignment="1">
      <alignment horizontal="center" wrapText="1"/>
    </xf>
    <xf numFmtId="0" fontId="4" fillId="0" borderId="12" xfId="0" applyFont="1" applyBorder="1" applyAlignment="1">
      <alignment wrapText="1"/>
    </xf>
    <xf numFmtId="0" fontId="3" fillId="0" borderId="0" xfId="0" applyFont="1" applyAlignment="1">
      <alignment horizontal="centerContinuous" wrapText="1"/>
    </xf>
    <xf numFmtId="0" fontId="3" fillId="0" borderId="0" xfId="0" applyFont="1" applyAlignment="1">
      <alignment wrapText="1"/>
    </xf>
    <xf numFmtId="0" fontId="3" fillId="0" borderId="11" xfId="0" applyFont="1" applyBorder="1" applyAlignment="1">
      <alignment wrapText="1"/>
    </xf>
    <xf numFmtId="0" fontId="3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3" xfId="0" applyFont="1" applyBorder="1" applyAlignment="1">
      <alignment horizontal="centerContinuous" wrapText="1"/>
    </xf>
    <xf numFmtId="0" fontId="4" fillId="0" borderId="6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6" xfId="0" applyFont="1" applyBorder="1" applyAlignment="1">
      <alignment wrapText="1"/>
    </xf>
    <xf numFmtId="164" fontId="22" fillId="0" borderId="0" xfId="1" applyFont="1" applyFill="1" applyAlignment="1">
      <alignment wrapText="1"/>
    </xf>
    <xf numFmtId="0" fontId="2" fillId="0" borderId="0" xfId="0" applyFont="1" applyAlignment="1">
      <alignment wrapText="1"/>
    </xf>
    <xf numFmtId="0" fontId="21" fillId="0" borderId="12" xfId="0" applyFont="1" applyBorder="1" applyAlignment="1">
      <alignment horizontal="left" wrapText="1"/>
    </xf>
    <xf numFmtId="164" fontId="6" fillId="2" borderId="12" xfId="1" applyFont="1" applyFill="1" applyBorder="1"/>
    <xf numFmtId="0" fontId="4" fillId="2" borderId="0" xfId="0" applyFont="1" applyFill="1"/>
    <xf numFmtId="164" fontId="13" fillId="2" borderId="0" xfId="0" applyNumberFormat="1" applyFont="1" applyFill="1"/>
    <xf numFmtId="0" fontId="8" fillId="2" borderId="0" xfId="0" applyFont="1" applyFill="1"/>
    <xf numFmtId="43" fontId="8" fillId="2" borderId="0" xfId="0" applyNumberFormat="1" applyFont="1" applyFill="1"/>
    <xf numFmtId="0" fontId="19" fillId="0" borderId="0" xfId="0" applyFont="1"/>
    <xf numFmtId="164" fontId="8" fillId="0" borderId="0" xfId="0" applyNumberFormat="1" applyFont="1"/>
    <xf numFmtId="0" fontId="19" fillId="2" borderId="0" xfId="0" applyFont="1" applyFill="1"/>
    <xf numFmtId="44" fontId="19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</cellXfs>
  <cellStyles count="4">
    <cellStyle name="Millares" xfId="1" builtinId="3"/>
    <cellStyle name="Millares 2" xfId="3" xr:uid="{00000000-0005-0000-0000-000001000000}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62B84E73-849A-4A6D-B3BE-F60D60D298D1}"/>
  </tableStyles>
  <colors>
    <mruColors>
      <color rgb="FF669900"/>
      <color rgb="FF666633"/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sotac24-my.sharepoint.com/personal/cfinanciero_asotac24_onmicrosoft_com/Documents/Documentos/PRESUPUESTOS/Ejecucion%20Presup-%20Anexo%202024-AS.xlsx" TargetMode="External"/><Relationship Id="rId1" Type="http://schemas.openxmlformats.org/officeDocument/2006/relationships/externalLinkPath" Target="/personal/cfinanciero_asotac24_onmicrosoft_com/Documents/Documentos/PRESUPUESTOS/Ejecucion%20Presup-%20Anexo%202024-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 ENERO 2024"/>
      <sheetName val="EGR ENERO 2024"/>
      <sheetName val="ING FEBRERO 2024 "/>
      <sheetName val="EGR FEBRERO 2024 "/>
      <sheetName val="ING MARZO 2024"/>
      <sheetName val="EGR MARZO 2024 "/>
      <sheetName val="ING ABRIL 2024 "/>
      <sheetName val="EGR ABRIL 2024"/>
      <sheetName val="ING MAYO 2024"/>
      <sheetName val="EGR MAYO 2024"/>
      <sheetName val="ING JUNIO 2024 "/>
      <sheetName val="EGR JUNIO 2024"/>
      <sheetName val="ING JULIO 2024 "/>
      <sheetName val="EGR JULIO 2024"/>
      <sheetName val="ING AGOSTO 2024"/>
      <sheetName val="EGR AGOSTO 2024"/>
      <sheetName val="ING SEPTIEMBRE 2024"/>
      <sheetName val="EGR SEPTIEMBRE 2024"/>
      <sheetName val="ING OCTUBRE 2024"/>
      <sheetName val="EGR OCTUBRE 2024"/>
      <sheetName val="ING NOVIEMBRE 2024"/>
      <sheetName val="EGR NOVIEMBRE 2024"/>
      <sheetName val="ING DICIEMBRE 2024"/>
      <sheetName val="EGR DICIEMBRE 20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Q9">
            <v>32001</v>
          </cell>
        </row>
        <row r="11">
          <cell r="Q11">
            <v>28745.41</v>
          </cell>
        </row>
        <row r="17">
          <cell r="Q17">
            <v>30491.49</v>
          </cell>
        </row>
        <row r="23">
          <cell r="Q23">
            <v>2974386.07</v>
          </cell>
        </row>
        <row r="25">
          <cell r="Q25">
            <v>3382066.23</v>
          </cell>
        </row>
      </sheetData>
      <sheetData sheetId="17">
        <row r="7">
          <cell r="Q7">
            <v>603898.27999999991</v>
          </cell>
        </row>
        <row r="8">
          <cell r="Q8">
            <v>6562.5</v>
          </cell>
        </row>
        <row r="9">
          <cell r="Q9">
            <v>188808.37000000002</v>
          </cell>
        </row>
        <row r="12">
          <cell r="Q12">
            <v>18000</v>
          </cell>
        </row>
        <row r="13">
          <cell r="Q13">
            <v>11223.85</v>
          </cell>
        </row>
        <row r="14">
          <cell r="Q14">
            <v>65649.73000000001</v>
          </cell>
        </row>
        <row r="15">
          <cell r="Q15">
            <v>6151.22</v>
          </cell>
        </row>
        <row r="16">
          <cell r="Q16">
            <v>6376.03</v>
          </cell>
        </row>
        <row r="17">
          <cell r="Q17">
            <v>64403.34</v>
          </cell>
        </row>
        <row r="18">
          <cell r="Q18">
            <v>370.41</v>
          </cell>
        </row>
        <row r="19">
          <cell r="Q19">
            <v>9644.83</v>
          </cell>
        </row>
        <row r="20">
          <cell r="Q20">
            <v>12554.190000000002</v>
          </cell>
        </row>
        <row r="21">
          <cell r="Q21">
            <v>1508.32</v>
          </cell>
        </row>
        <row r="22">
          <cell r="Q22">
            <v>3065</v>
          </cell>
        </row>
        <row r="23">
          <cell r="Q23">
            <v>8293.4499999999989</v>
          </cell>
        </row>
        <row r="24">
          <cell r="Q24">
            <v>1604246.18</v>
          </cell>
        </row>
        <row r="25">
          <cell r="Q25">
            <v>172665.09</v>
          </cell>
        </row>
        <row r="26">
          <cell r="Q26">
            <v>851251.79</v>
          </cell>
        </row>
        <row r="27">
          <cell r="Q27">
            <v>84616</v>
          </cell>
        </row>
        <row r="30">
          <cell r="Q30">
            <v>7600</v>
          </cell>
        </row>
        <row r="32">
          <cell r="Q32">
            <v>2450</v>
          </cell>
        </row>
        <row r="33">
          <cell r="Q33">
            <v>691.53</v>
          </cell>
        </row>
        <row r="34">
          <cell r="Q34">
            <v>450</v>
          </cell>
        </row>
        <row r="37">
          <cell r="Q37">
            <v>4000</v>
          </cell>
        </row>
        <row r="39">
          <cell r="Q39">
            <v>30097.440000000002</v>
          </cell>
        </row>
        <row r="40">
          <cell r="Q40">
            <v>40500</v>
          </cell>
        </row>
        <row r="41">
          <cell r="Q41">
            <v>1176</v>
          </cell>
        </row>
        <row r="43">
          <cell r="Q43">
            <v>718366.95</v>
          </cell>
        </row>
        <row r="46">
          <cell r="Q46">
            <v>1265.1099999999999</v>
          </cell>
        </row>
        <row r="47">
          <cell r="Q47">
            <v>722.03000000000009</v>
          </cell>
        </row>
        <row r="48">
          <cell r="Q48">
            <v>20890.009999999998</v>
          </cell>
        </row>
        <row r="49">
          <cell r="Q49">
            <v>10522.8</v>
          </cell>
        </row>
        <row r="51">
          <cell r="Q51">
            <v>3897.32</v>
          </cell>
        </row>
        <row r="52">
          <cell r="Q52">
            <v>39066.85</v>
          </cell>
        </row>
        <row r="54">
          <cell r="Q54">
            <v>165</v>
          </cell>
        </row>
        <row r="56">
          <cell r="Q56">
            <v>827.19</v>
          </cell>
        </row>
        <row r="57">
          <cell r="Q57">
            <v>40953.800000000003</v>
          </cell>
        </row>
        <row r="58">
          <cell r="Q58">
            <v>3112.65</v>
          </cell>
        </row>
        <row r="59">
          <cell r="Q59">
            <v>6220.9700000000012</v>
          </cell>
        </row>
        <row r="60">
          <cell r="Q60">
            <v>1844.6499999999999</v>
          </cell>
        </row>
        <row r="63">
          <cell r="Q63">
            <v>2697.65</v>
          </cell>
        </row>
        <row r="64">
          <cell r="Q64">
            <v>287</v>
          </cell>
        </row>
        <row r="65">
          <cell r="Q65">
            <v>5329.45</v>
          </cell>
        </row>
        <row r="66">
          <cell r="Q66">
            <v>777.5</v>
          </cell>
        </row>
        <row r="67">
          <cell r="Q67">
            <v>3437.35</v>
          </cell>
        </row>
        <row r="68">
          <cell r="Q68">
            <v>4755.16</v>
          </cell>
        </row>
        <row r="69">
          <cell r="Q69">
            <v>588</v>
          </cell>
        </row>
        <row r="73">
          <cell r="Q73">
            <v>486</v>
          </cell>
        </row>
        <row r="77">
          <cell r="Q77">
            <v>278.55</v>
          </cell>
        </row>
        <row r="78">
          <cell r="Q78">
            <v>924.54</v>
          </cell>
        </row>
        <row r="79">
          <cell r="Q79">
            <v>1088331</v>
          </cell>
        </row>
        <row r="80">
          <cell r="Q80">
            <v>216</v>
          </cell>
        </row>
        <row r="82">
          <cell r="Q82">
            <v>3288.88</v>
          </cell>
        </row>
        <row r="83">
          <cell r="Q83">
            <v>1549.39</v>
          </cell>
        </row>
        <row r="84">
          <cell r="Q84">
            <v>21295.07</v>
          </cell>
        </row>
        <row r="86">
          <cell r="Q86">
            <v>952.85</v>
          </cell>
        </row>
        <row r="87">
          <cell r="Q87">
            <v>21518.49</v>
          </cell>
        </row>
        <row r="88">
          <cell r="Q88">
            <v>6390.96</v>
          </cell>
        </row>
        <row r="92">
          <cell r="Q92">
            <v>11490</v>
          </cell>
        </row>
        <row r="93">
          <cell r="Q93">
            <v>1060.02</v>
          </cell>
        </row>
        <row r="94">
          <cell r="Q94">
            <v>4670</v>
          </cell>
        </row>
        <row r="97">
          <cell r="Q97">
            <v>41784.97</v>
          </cell>
        </row>
        <row r="98">
          <cell r="Q98">
            <v>8025</v>
          </cell>
        </row>
        <row r="99">
          <cell r="Q99">
            <v>2000</v>
          </cell>
        </row>
        <row r="100">
          <cell r="Q100">
            <v>118168.58</v>
          </cell>
        </row>
        <row r="101">
          <cell r="Q101">
            <v>1937.01</v>
          </cell>
        </row>
      </sheetData>
      <sheetData sheetId="18">
        <row r="9">
          <cell r="Q9">
            <v>35271</v>
          </cell>
        </row>
        <row r="11">
          <cell r="Q11">
            <v>35860.410000000003</v>
          </cell>
        </row>
        <row r="17">
          <cell r="Q17">
            <v>41423.22</v>
          </cell>
        </row>
        <row r="23">
          <cell r="Q23">
            <v>3340419.84</v>
          </cell>
        </row>
        <row r="24">
          <cell r="Q24">
            <v>0</v>
          </cell>
        </row>
        <row r="25">
          <cell r="Q25">
            <v>3429536.22</v>
          </cell>
        </row>
      </sheetData>
      <sheetData sheetId="19">
        <row r="7">
          <cell r="Q7">
            <v>672092.36999999988</v>
          </cell>
        </row>
        <row r="8">
          <cell r="Q8">
            <v>6937.5</v>
          </cell>
        </row>
        <row r="9">
          <cell r="Q9">
            <v>220957.37000000002</v>
          </cell>
        </row>
        <row r="12">
          <cell r="Q12">
            <v>20340</v>
          </cell>
        </row>
        <row r="13">
          <cell r="Q13">
            <v>13002.6</v>
          </cell>
        </row>
        <row r="14">
          <cell r="Q14">
            <v>73115.830000000016</v>
          </cell>
        </row>
        <row r="15">
          <cell r="Q15">
            <v>6850.9500000000007</v>
          </cell>
        </row>
        <row r="16">
          <cell r="Q16">
            <v>6376.03</v>
          </cell>
        </row>
        <row r="17">
          <cell r="Q17">
            <v>64403.34</v>
          </cell>
        </row>
        <row r="18">
          <cell r="Q18">
            <v>370.41</v>
          </cell>
        </row>
        <row r="19">
          <cell r="Q19">
            <v>11124.93</v>
          </cell>
        </row>
        <row r="20">
          <cell r="Q20">
            <v>13207.190000000002</v>
          </cell>
        </row>
        <row r="21">
          <cell r="Q21">
            <v>1508.32</v>
          </cell>
        </row>
        <row r="22">
          <cell r="Q22">
            <v>3065</v>
          </cell>
        </row>
        <row r="23">
          <cell r="Q23">
            <v>8619.5499999999993</v>
          </cell>
        </row>
        <row r="24">
          <cell r="Q24">
            <v>1768570.5</v>
          </cell>
        </row>
        <row r="25">
          <cell r="Q25">
            <v>258929.25</v>
          </cell>
        </row>
        <row r="26">
          <cell r="Q26">
            <v>34595.620000000003</v>
          </cell>
        </row>
        <row r="27">
          <cell r="Q27">
            <v>879176.67</v>
          </cell>
        </row>
        <row r="28">
          <cell r="Q28">
            <v>94205.64</v>
          </cell>
        </row>
        <row r="29">
          <cell r="Q29">
            <v>0</v>
          </cell>
        </row>
        <row r="30">
          <cell r="Q30">
            <v>30000</v>
          </cell>
        </row>
        <row r="31">
          <cell r="Q31">
            <v>7600</v>
          </cell>
        </row>
        <row r="33">
          <cell r="Q33">
            <v>2450</v>
          </cell>
        </row>
        <row r="34">
          <cell r="Q34">
            <v>691.53</v>
          </cell>
        </row>
        <row r="35">
          <cell r="Q35">
            <v>820</v>
          </cell>
        </row>
        <row r="38">
          <cell r="Q38">
            <v>4000</v>
          </cell>
        </row>
        <row r="40">
          <cell r="Q40">
            <v>38404.44</v>
          </cell>
        </row>
        <row r="41">
          <cell r="Q41">
            <v>50600</v>
          </cell>
        </row>
        <row r="42">
          <cell r="Q42">
            <v>1176</v>
          </cell>
        </row>
        <row r="44">
          <cell r="Q44">
            <v>773055.91999999993</v>
          </cell>
        </row>
        <row r="47">
          <cell r="Q47">
            <v>1265.1099999999999</v>
          </cell>
        </row>
        <row r="48">
          <cell r="Q48">
            <v>1673.8300000000002</v>
          </cell>
        </row>
        <row r="49">
          <cell r="Q49">
            <v>20890.009999999998</v>
          </cell>
        </row>
        <row r="50">
          <cell r="Q50">
            <v>10522.8</v>
          </cell>
        </row>
        <row r="52">
          <cell r="Q52">
            <v>6231.32</v>
          </cell>
        </row>
        <row r="53">
          <cell r="Q53">
            <v>42446.45</v>
          </cell>
        </row>
        <row r="55">
          <cell r="Q55">
            <v>165</v>
          </cell>
        </row>
        <row r="57">
          <cell r="Q57">
            <v>1054.49</v>
          </cell>
        </row>
        <row r="58">
          <cell r="Q58">
            <v>40953.800000000003</v>
          </cell>
        </row>
        <row r="59">
          <cell r="Q59">
            <v>3462.65</v>
          </cell>
        </row>
        <row r="60">
          <cell r="Q60">
            <v>7385.9100000000017</v>
          </cell>
        </row>
        <row r="61">
          <cell r="Q61">
            <v>1844.6499999999999</v>
          </cell>
        </row>
        <row r="64">
          <cell r="Q64">
            <v>2697.65</v>
          </cell>
        </row>
        <row r="65">
          <cell r="Q65">
            <v>761</v>
          </cell>
        </row>
        <row r="66">
          <cell r="Q66">
            <v>6215.28</v>
          </cell>
        </row>
        <row r="67">
          <cell r="Q67">
            <v>777.5</v>
          </cell>
        </row>
        <row r="68">
          <cell r="Q68">
            <v>13103.85</v>
          </cell>
        </row>
        <row r="69">
          <cell r="Q69">
            <v>5456.6</v>
          </cell>
        </row>
        <row r="70">
          <cell r="Q70">
            <v>588</v>
          </cell>
        </row>
        <row r="74">
          <cell r="Q74">
            <v>486</v>
          </cell>
        </row>
        <row r="78">
          <cell r="Q78">
            <v>278.55</v>
          </cell>
        </row>
        <row r="79">
          <cell r="Q79">
            <v>1923.54</v>
          </cell>
        </row>
        <row r="80">
          <cell r="Q80">
            <v>1088331</v>
          </cell>
        </row>
        <row r="81">
          <cell r="Q81">
            <v>216</v>
          </cell>
        </row>
        <row r="83">
          <cell r="Q83">
            <v>3546.08</v>
          </cell>
        </row>
        <row r="84">
          <cell r="Q84">
            <v>1789.0900000000001</v>
          </cell>
        </row>
        <row r="85">
          <cell r="Q85">
            <v>21295.07</v>
          </cell>
        </row>
        <row r="87">
          <cell r="Q87">
            <v>1044.8499999999999</v>
          </cell>
        </row>
        <row r="88">
          <cell r="Q88">
            <v>110096.52</v>
          </cell>
        </row>
        <row r="89">
          <cell r="Q89">
            <v>8749.18</v>
          </cell>
        </row>
        <row r="93">
          <cell r="Q93">
            <v>11490</v>
          </cell>
        </row>
        <row r="94">
          <cell r="Q94">
            <v>1060.02</v>
          </cell>
        </row>
        <row r="95">
          <cell r="Q95">
            <v>6945</v>
          </cell>
        </row>
        <row r="96">
          <cell r="Q96">
            <v>5125</v>
          </cell>
        </row>
        <row r="98">
          <cell r="Q98">
            <v>41784.97</v>
          </cell>
        </row>
        <row r="99">
          <cell r="Q99">
            <v>8025</v>
          </cell>
        </row>
        <row r="100">
          <cell r="Q100">
            <v>2500</v>
          </cell>
        </row>
        <row r="101">
          <cell r="Q101">
            <v>118168.58</v>
          </cell>
        </row>
        <row r="102">
          <cell r="Q102">
            <v>1937.01</v>
          </cell>
        </row>
        <row r="103">
          <cell r="Q103"/>
        </row>
      </sheetData>
      <sheetData sheetId="20">
        <row r="9">
          <cell r="Q9">
            <v>35271</v>
          </cell>
        </row>
        <row r="11">
          <cell r="Q11">
            <v>44345.41</v>
          </cell>
        </row>
        <row r="17">
          <cell r="Q17">
            <v>52490.75</v>
          </cell>
        </row>
        <row r="23">
          <cell r="Q23">
            <v>3671453.61</v>
          </cell>
        </row>
        <row r="24">
          <cell r="Q24">
            <v>92253.31</v>
          </cell>
        </row>
        <row r="25">
          <cell r="Q25">
            <v>3524035.66</v>
          </cell>
        </row>
        <row r="26">
          <cell r="Q26">
            <v>16320</v>
          </cell>
        </row>
      </sheetData>
      <sheetData sheetId="21">
        <row r="7">
          <cell r="Q7">
            <v>740286.45999999985</v>
          </cell>
        </row>
        <row r="8">
          <cell r="Q8">
            <v>7312.5</v>
          </cell>
        </row>
        <row r="9">
          <cell r="Q9">
            <v>242106.37000000002</v>
          </cell>
        </row>
        <row r="12">
          <cell r="Q12">
            <v>22680</v>
          </cell>
        </row>
        <row r="13">
          <cell r="Q13">
            <v>17862.559999999998</v>
          </cell>
        </row>
        <row r="14">
          <cell r="Q14">
            <v>80910.700000000012</v>
          </cell>
        </row>
        <row r="15">
          <cell r="Q15">
            <v>7581.4900000000007</v>
          </cell>
        </row>
        <row r="16">
          <cell r="Q16">
            <v>6376.03</v>
          </cell>
        </row>
        <row r="17">
          <cell r="Q17">
            <v>64403.34</v>
          </cell>
        </row>
        <row r="18">
          <cell r="Q18">
            <v>370.41</v>
          </cell>
        </row>
        <row r="19">
          <cell r="Q19">
            <v>12313.24</v>
          </cell>
        </row>
        <row r="20">
          <cell r="Q20">
            <v>13860.190000000002</v>
          </cell>
        </row>
        <row r="21">
          <cell r="Q21">
            <v>1508.32</v>
          </cell>
        </row>
        <row r="22">
          <cell r="Q22">
            <v>8165</v>
          </cell>
        </row>
        <row r="23">
          <cell r="Q23">
            <v>8726.25</v>
          </cell>
        </row>
        <row r="24">
          <cell r="Q24">
            <v>1799496</v>
          </cell>
        </row>
        <row r="25">
          <cell r="Q25">
            <v>268177.96000000002</v>
          </cell>
        </row>
        <row r="26">
          <cell r="Q26">
            <v>34595.620000000003</v>
          </cell>
        </row>
        <row r="27">
          <cell r="Q27">
            <v>927783.18</v>
          </cell>
        </row>
        <row r="28">
          <cell r="Q28">
            <v>97220.47</v>
          </cell>
        </row>
        <row r="29">
          <cell r="Q29">
            <v>286.05</v>
          </cell>
        </row>
        <row r="30">
          <cell r="Q30">
            <v>60000</v>
          </cell>
        </row>
        <row r="31">
          <cell r="Q31">
            <v>7600</v>
          </cell>
        </row>
        <row r="33">
          <cell r="Q33">
            <v>2450</v>
          </cell>
        </row>
        <row r="34">
          <cell r="Q34">
            <v>691.53</v>
          </cell>
        </row>
        <row r="35">
          <cell r="Q35">
            <v>820</v>
          </cell>
        </row>
        <row r="38">
          <cell r="Q38">
            <v>4000</v>
          </cell>
        </row>
        <row r="40">
          <cell r="Q40">
            <v>46711.44</v>
          </cell>
        </row>
        <row r="41">
          <cell r="Q41">
            <v>55100</v>
          </cell>
        </row>
        <row r="42">
          <cell r="Q42">
            <v>1176</v>
          </cell>
        </row>
        <row r="44">
          <cell r="Q44">
            <v>828116.22</v>
          </cell>
        </row>
        <row r="47">
          <cell r="Q47">
            <v>6545.2999999999993</v>
          </cell>
        </row>
        <row r="48">
          <cell r="Q48">
            <v>1909.7300000000002</v>
          </cell>
        </row>
        <row r="49">
          <cell r="Q49">
            <v>24723.279999999999</v>
          </cell>
        </row>
        <row r="50">
          <cell r="Q50">
            <v>20043.830000000002</v>
          </cell>
        </row>
        <row r="52">
          <cell r="Q52">
            <v>9826.74</v>
          </cell>
        </row>
        <row r="53">
          <cell r="Q53">
            <v>53894.75</v>
          </cell>
        </row>
        <row r="55">
          <cell r="Q55">
            <v>165</v>
          </cell>
        </row>
        <row r="57">
          <cell r="Q57">
            <v>1054.49</v>
          </cell>
        </row>
        <row r="58">
          <cell r="Q58">
            <v>44145.8</v>
          </cell>
        </row>
        <row r="59">
          <cell r="Q59">
            <v>3981.4</v>
          </cell>
        </row>
        <row r="60">
          <cell r="Q60">
            <v>7499.1100000000015</v>
          </cell>
        </row>
        <row r="61">
          <cell r="Q61">
            <v>1943.1499999999999</v>
          </cell>
        </row>
        <row r="64">
          <cell r="Q64">
            <v>2697.65</v>
          </cell>
        </row>
        <row r="65">
          <cell r="Q65">
            <v>761</v>
          </cell>
        </row>
        <row r="66">
          <cell r="Q66">
            <v>7114.37</v>
          </cell>
        </row>
        <row r="67">
          <cell r="Q67">
            <v>777.5</v>
          </cell>
        </row>
        <row r="68">
          <cell r="Q68">
            <v>13103.85</v>
          </cell>
        </row>
        <row r="69">
          <cell r="Q69">
            <v>5732.56</v>
          </cell>
        </row>
        <row r="70">
          <cell r="Q70">
            <v>588</v>
          </cell>
        </row>
        <row r="74">
          <cell r="Q74">
            <v>486</v>
          </cell>
        </row>
        <row r="78">
          <cell r="Q78">
            <v>278.55</v>
          </cell>
        </row>
        <row r="79">
          <cell r="Q79">
            <v>1923.54</v>
          </cell>
        </row>
        <row r="80">
          <cell r="Q80">
            <v>1088331</v>
          </cell>
        </row>
        <row r="81">
          <cell r="Q81">
            <v>216</v>
          </cell>
        </row>
        <row r="83">
          <cell r="Q83">
            <v>4235.42</v>
          </cell>
        </row>
        <row r="84">
          <cell r="Q84">
            <v>2084.1400000000003</v>
          </cell>
        </row>
        <row r="85">
          <cell r="Q85">
            <v>21775.07</v>
          </cell>
        </row>
        <row r="87">
          <cell r="Q87">
            <v>1044.8499999999999</v>
          </cell>
        </row>
        <row r="88">
          <cell r="Q88">
            <v>131986.79999999999</v>
          </cell>
        </row>
        <row r="89">
          <cell r="Q89">
            <v>9419.43</v>
          </cell>
        </row>
        <row r="93">
          <cell r="Q93">
            <v>11490</v>
          </cell>
        </row>
        <row r="94">
          <cell r="Q94">
            <v>1060.02</v>
          </cell>
        </row>
        <row r="95">
          <cell r="Q95">
            <v>6945</v>
          </cell>
        </row>
        <row r="96">
          <cell r="Q96">
            <v>6622</v>
          </cell>
        </row>
        <row r="98">
          <cell r="Q98">
            <v>41784.97</v>
          </cell>
        </row>
        <row r="99">
          <cell r="Q99">
            <v>8025</v>
          </cell>
        </row>
        <row r="100">
          <cell r="Q100">
            <v>3000</v>
          </cell>
        </row>
        <row r="101">
          <cell r="Q101">
            <v>118168.58</v>
          </cell>
        </row>
        <row r="102">
          <cell r="Q102">
            <v>1937.01</v>
          </cell>
        </row>
        <row r="103">
          <cell r="Q103">
            <v>300000</v>
          </cell>
        </row>
        <row r="104">
          <cell r="Q104">
            <v>7336008.2199999997</v>
          </cell>
        </row>
      </sheetData>
      <sheetData sheetId="22">
        <row r="9">
          <cell r="Q9">
            <v>44021</v>
          </cell>
        </row>
        <row r="11">
          <cell r="Q11">
            <v>45755.41</v>
          </cell>
        </row>
        <row r="17">
          <cell r="Q17">
            <v>62270.119999999995</v>
          </cell>
        </row>
        <row r="23">
          <cell r="Q23">
            <v>4002487.38</v>
          </cell>
        </row>
        <row r="24">
          <cell r="Q24">
            <v>276759.93</v>
          </cell>
        </row>
        <row r="25">
          <cell r="Q25">
            <v>3871455.85</v>
          </cell>
        </row>
        <row r="26">
          <cell r="Q26">
            <v>16320</v>
          </cell>
        </row>
      </sheetData>
      <sheetData sheetId="23">
        <row r="7">
          <cell r="Q7">
            <v>808480.54999999981</v>
          </cell>
        </row>
        <row r="8">
          <cell r="Q8">
            <v>7687.5</v>
          </cell>
        </row>
        <row r="9">
          <cell r="Q9">
            <v>278621.13</v>
          </cell>
        </row>
        <row r="12">
          <cell r="Q12">
            <v>24480</v>
          </cell>
        </row>
        <row r="13">
          <cell r="Q13">
            <v>29205.574999999997</v>
          </cell>
        </row>
        <row r="14">
          <cell r="Q14">
            <v>89397.310000000012</v>
          </cell>
        </row>
        <row r="15">
          <cell r="Q15">
            <v>8376.86</v>
          </cell>
        </row>
        <row r="16">
          <cell r="Q16">
            <v>67568.87</v>
          </cell>
        </row>
        <row r="17">
          <cell r="Q17">
            <v>64403.34</v>
          </cell>
        </row>
        <row r="18">
          <cell r="Q18">
            <v>5492.33</v>
          </cell>
        </row>
        <row r="19">
          <cell r="Q19">
            <v>13519.789999999999</v>
          </cell>
        </row>
        <row r="20">
          <cell r="Q20">
            <v>14513.190000000002</v>
          </cell>
        </row>
        <row r="21">
          <cell r="Q21">
            <v>1508.32</v>
          </cell>
        </row>
        <row r="22">
          <cell r="Q22">
            <v>8165</v>
          </cell>
        </row>
        <row r="23">
          <cell r="Q23">
            <v>9232.9500000000007</v>
          </cell>
        </row>
        <row r="24">
          <cell r="Q24">
            <v>1811670.75</v>
          </cell>
        </row>
        <row r="25">
          <cell r="Q25">
            <v>275071.72000000003</v>
          </cell>
        </row>
        <row r="26">
          <cell r="Q26">
            <v>34595.620000000003</v>
          </cell>
        </row>
        <row r="27">
          <cell r="Q27">
            <v>927783.18</v>
          </cell>
        </row>
        <row r="28">
          <cell r="Q28">
            <v>97220.47</v>
          </cell>
        </row>
        <row r="29">
          <cell r="Q29">
            <v>286.05</v>
          </cell>
        </row>
        <row r="30">
          <cell r="Q30">
            <v>90000</v>
          </cell>
        </row>
        <row r="31">
          <cell r="Q31">
            <v>7600</v>
          </cell>
        </row>
        <row r="32">
          <cell r="Q32">
            <v>550</v>
          </cell>
        </row>
        <row r="33">
          <cell r="Q33">
            <v>2450</v>
          </cell>
        </row>
        <row r="34">
          <cell r="Q34">
            <v>691.53</v>
          </cell>
        </row>
        <row r="35">
          <cell r="Q35">
            <v>820</v>
          </cell>
        </row>
        <row r="38">
          <cell r="Q38">
            <v>4000</v>
          </cell>
        </row>
        <row r="40">
          <cell r="Q40">
            <v>55018.44</v>
          </cell>
        </row>
        <row r="41">
          <cell r="Q41">
            <v>59600</v>
          </cell>
        </row>
        <row r="42">
          <cell r="Q42">
            <v>1176</v>
          </cell>
        </row>
        <row r="43">
          <cell r="Q43">
            <v>14000</v>
          </cell>
        </row>
        <row r="44">
          <cell r="Q44">
            <v>898497.39999999991</v>
          </cell>
        </row>
        <row r="47">
          <cell r="Q47">
            <v>6545.2999999999993</v>
          </cell>
        </row>
        <row r="48">
          <cell r="Q48">
            <v>1960.0900000000001</v>
          </cell>
        </row>
        <row r="49">
          <cell r="Q49">
            <v>24946.53</v>
          </cell>
        </row>
        <row r="50">
          <cell r="Q50">
            <v>29402.86</v>
          </cell>
        </row>
        <row r="52">
          <cell r="Q52">
            <v>9826.74</v>
          </cell>
        </row>
        <row r="53">
          <cell r="Q53">
            <v>62826.270000000004</v>
          </cell>
        </row>
        <row r="55">
          <cell r="Q55">
            <v>165</v>
          </cell>
        </row>
        <row r="57">
          <cell r="Q57">
            <v>1494.49</v>
          </cell>
        </row>
        <row r="58">
          <cell r="Q58">
            <v>44145.8</v>
          </cell>
        </row>
        <row r="59">
          <cell r="Q59">
            <v>3981.4</v>
          </cell>
        </row>
        <row r="60">
          <cell r="Q60">
            <v>7929.1100000000015</v>
          </cell>
        </row>
        <row r="61">
          <cell r="Q61">
            <v>1943.1499999999999</v>
          </cell>
        </row>
        <row r="64">
          <cell r="Q64">
            <v>2697.65</v>
          </cell>
        </row>
        <row r="65">
          <cell r="Q65">
            <v>761</v>
          </cell>
        </row>
        <row r="66">
          <cell r="Q66">
            <v>8062.37</v>
          </cell>
        </row>
        <row r="67">
          <cell r="Q67">
            <v>777.5</v>
          </cell>
        </row>
        <row r="68">
          <cell r="Q68">
            <v>13103.85</v>
          </cell>
        </row>
        <row r="69">
          <cell r="Q69">
            <v>5732.56</v>
          </cell>
        </row>
        <row r="70">
          <cell r="Q70">
            <v>588</v>
          </cell>
        </row>
        <row r="74">
          <cell r="Q74">
            <v>486</v>
          </cell>
        </row>
        <row r="78">
          <cell r="Q78">
            <v>278.55</v>
          </cell>
        </row>
        <row r="79">
          <cell r="Q79">
            <v>1923.54</v>
          </cell>
        </row>
        <row r="80">
          <cell r="Q80">
            <v>1088331</v>
          </cell>
        </row>
        <row r="81">
          <cell r="Q81">
            <v>216</v>
          </cell>
        </row>
        <row r="83">
          <cell r="Q83">
            <v>4359.67</v>
          </cell>
        </row>
        <row r="84">
          <cell r="Q84">
            <v>2336.2900000000004</v>
          </cell>
        </row>
        <row r="85">
          <cell r="Q85">
            <v>66775.070000000007</v>
          </cell>
        </row>
        <row r="87">
          <cell r="Q87">
            <v>1213.8499999999999</v>
          </cell>
        </row>
        <row r="88">
          <cell r="Q88">
            <v>134826.4</v>
          </cell>
        </row>
        <row r="89">
          <cell r="Q89">
            <v>9479.43</v>
          </cell>
        </row>
        <row r="92">
          <cell r="Q92">
            <v>93000</v>
          </cell>
        </row>
        <row r="93">
          <cell r="Q93">
            <v>11490</v>
          </cell>
        </row>
        <row r="94">
          <cell r="Q94">
            <v>1060.02</v>
          </cell>
        </row>
        <row r="95">
          <cell r="Q95">
            <v>6945</v>
          </cell>
        </row>
        <row r="96">
          <cell r="Q96">
            <v>10447</v>
          </cell>
        </row>
        <row r="98">
          <cell r="Q98">
            <v>41784.97</v>
          </cell>
        </row>
        <row r="99">
          <cell r="Q99">
            <v>8025</v>
          </cell>
        </row>
        <row r="100">
          <cell r="Q100">
            <v>3250</v>
          </cell>
        </row>
        <row r="101">
          <cell r="Q101">
            <v>118168.58</v>
          </cell>
        </row>
        <row r="102">
          <cell r="Q102">
            <v>1937.01</v>
          </cell>
        </row>
        <row r="103">
          <cell r="Q103">
            <v>300000</v>
          </cell>
        </row>
        <row r="104">
          <cell r="Q104">
            <v>7844906.9249999998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93059-5CE9-4AA4-B814-4CAF7CE704FD}">
  <dimension ref="A1:O209"/>
  <sheetViews>
    <sheetView topLeftCell="A149" zoomScaleNormal="100" workbookViewId="0">
      <selection activeCell="E145" sqref="E145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237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v>11600</v>
      </c>
      <c r="N10" s="28">
        <f t="shared" ref="N10:N22" si="1">L10-M10</f>
        <v>25400</v>
      </c>
      <c r="O10" s="27">
        <f>M10/$M$26</f>
        <v>4.4268469645110359E-2</v>
      </c>
    </row>
    <row r="11" spans="1:15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0.7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/>
      <c r="N12" s="28">
        <f t="shared" si="1"/>
        <v>30500</v>
      </c>
      <c r="O12" s="27">
        <f>M12/$M$26</f>
        <v>0</v>
      </c>
    </row>
    <row r="13" spans="1:15" ht="31.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v>722.57</v>
      </c>
      <c r="N15" s="28">
        <f t="shared" si="1"/>
        <v>8077.43</v>
      </c>
      <c r="O15" s="27">
        <f>M15/$M$26</f>
        <v>2.7575058716782239E-3</v>
      </c>
    </row>
    <row r="16" spans="1:15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5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5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/>
      <c r="I18" s="28"/>
      <c r="J18" s="44"/>
      <c r="K18" s="44"/>
      <c r="L18" s="28">
        <f>C18+D18-E18+F18-G18+J18-I18-K18</f>
        <v>3669949.52</v>
      </c>
      <c r="M18" s="28">
        <v>249714.95</v>
      </c>
      <c r="N18" s="28">
        <f t="shared" si="1"/>
        <v>3420234.57</v>
      </c>
      <c r="O18" s="27">
        <f>M18/$M$26</f>
        <v>0.95297402448321133</v>
      </c>
    </row>
    <row r="19" spans="1:15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</row>
    <row r="20" spans="1:15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/>
      <c r="I20" s="28"/>
      <c r="J20" s="44"/>
      <c r="K20" s="44"/>
      <c r="L20" s="28">
        <f t="shared" si="0"/>
        <v>1904175.88</v>
      </c>
      <c r="M20" s="28"/>
      <c r="N20" s="28">
        <f t="shared" si="1"/>
        <v>1904175.88</v>
      </c>
      <c r="O20" s="27">
        <f>M20/$M$26</f>
        <v>0</v>
      </c>
    </row>
    <row r="21" spans="1:15" ht="15.95" customHeight="1" x14ac:dyDescent="0.25">
      <c r="A21" s="29" t="s">
        <v>25</v>
      </c>
      <c r="B21" s="29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</row>
    <row r="22" spans="1:15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5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5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121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5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121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5" ht="18" customHeight="1" thickBot="1" x14ac:dyDescent="0.3">
      <c r="A26" s="32"/>
      <c r="B26" s="33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8258523.620000001</v>
      </c>
      <c r="M26" s="34">
        <f>SUM(M10:M25)</f>
        <v>262037.52000000002</v>
      </c>
      <c r="N26" s="34">
        <f t="shared" si="2"/>
        <v>7996486.0999999996</v>
      </c>
      <c r="O26" s="27"/>
    </row>
    <row r="27" spans="1:15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5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5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5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5" ht="15.95" customHeight="1" x14ac:dyDescent="0.2">
      <c r="A31" s="41" t="s">
        <v>36</v>
      </c>
      <c r="B31" s="29" t="s">
        <v>152</v>
      </c>
      <c r="C31" s="28">
        <v>814572.04</v>
      </c>
      <c r="D31" s="28"/>
      <c r="E31" s="28"/>
      <c r="F31" s="44"/>
      <c r="G31" s="44"/>
      <c r="H31" s="28"/>
      <c r="I31" s="28"/>
      <c r="J31" s="44"/>
      <c r="K31" s="44"/>
      <c r="L31" s="28">
        <f>C31+D31-E31+F31-G31+H31+J31-I31-K31</f>
        <v>814572.04</v>
      </c>
      <c r="M31" s="28">
        <v>59982.77</v>
      </c>
      <c r="N31" s="28">
        <f t="shared" ref="N31:N101" si="3">L31-M31</f>
        <v>754589.27</v>
      </c>
      <c r="O31" s="38">
        <f>M31/$M$141</f>
        <v>0.2347226960417281</v>
      </c>
    </row>
    <row r="32" spans="1:15" ht="34.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v>750</v>
      </c>
      <c r="N32" s="28">
        <f t="shared" si="3"/>
        <v>12950</v>
      </c>
      <c r="O32" s="38">
        <f>M32/$M$141</f>
        <v>2.9348764992229619E-3</v>
      </c>
    </row>
    <row r="33" spans="1:15" ht="31.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v>18899</v>
      </c>
      <c r="N33" s="28">
        <f t="shared" si="3"/>
        <v>292201</v>
      </c>
      <c r="O33" s="38">
        <f>M33/$M$141</f>
        <v>7.3954974611753002E-2</v>
      </c>
    </row>
    <row r="34" spans="1:15" ht="15.95" customHeight="1" x14ac:dyDescent="0.3">
      <c r="A34" s="41" t="s">
        <v>250</v>
      </c>
      <c r="B34" s="29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/>
      <c r="H35" s="28"/>
      <c r="I35" s="28"/>
      <c r="J35" s="44"/>
      <c r="K35" s="44"/>
      <c r="L35" s="28">
        <f>C35+D35-E35+F35-G35+H35-I35+J35-K35</f>
        <v>154000</v>
      </c>
      <c r="M35" s="28"/>
      <c r="N35" s="28">
        <f t="shared" si="3"/>
        <v>154000</v>
      </c>
      <c r="O35" s="38">
        <f t="shared" ref="O35:O42" si="5">M35/$M$141</f>
        <v>0</v>
      </c>
    </row>
    <row r="36" spans="1:15" ht="15.95" customHeight="1" x14ac:dyDescent="0.2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/>
      <c r="K36" s="44"/>
      <c r="L36" s="28">
        <f t="shared" si="4"/>
        <v>17500</v>
      </c>
      <c r="M36" s="28">
        <v>540</v>
      </c>
      <c r="N36" s="28">
        <f t="shared" si="3"/>
        <v>16960</v>
      </c>
      <c r="O36" s="38">
        <f t="shared" si="5"/>
        <v>2.1131110794405323E-3</v>
      </c>
    </row>
    <row r="37" spans="1:15" ht="15.95" customHeight="1" x14ac:dyDescent="0.2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/>
      <c r="N37" s="28">
        <f t="shared" si="3"/>
        <v>34510.800000000003</v>
      </c>
      <c r="O37" s="38">
        <f t="shared" si="5"/>
        <v>0</v>
      </c>
    </row>
    <row r="38" spans="1:15" ht="15.95" customHeight="1" x14ac:dyDescent="0.2">
      <c r="A38" s="41" t="s">
        <v>42</v>
      </c>
      <c r="B38" s="29" t="s">
        <v>156</v>
      </c>
      <c r="C38" s="28">
        <v>87401.15</v>
      </c>
      <c r="D38" s="28"/>
      <c r="E38" s="28"/>
      <c r="F38" s="44"/>
      <c r="G38" s="44"/>
      <c r="H38" s="28"/>
      <c r="I38" s="28"/>
      <c r="J38" s="44"/>
      <c r="K38" s="44"/>
      <c r="L38" s="28">
        <f t="shared" si="4"/>
        <v>87401.15</v>
      </c>
      <c r="M38" s="28">
        <v>6400.16</v>
      </c>
      <c r="N38" s="28">
        <f t="shared" si="3"/>
        <v>81000.989999999991</v>
      </c>
      <c r="O38" s="38">
        <f t="shared" si="5"/>
        <v>2.5044905567022439E-2</v>
      </c>
    </row>
    <row r="39" spans="1:15" ht="15.95" customHeight="1" x14ac:dyDescent="0.2">
      <c r="A39" s="41" t="s">
        <v>43</v>
      </c>
      <c r="B39" s="29" t="s">
        <v>157</v>
      </c>
      <c r="C39" s="28">
        <v>8190.84</v>
      </c>
      <c r="D39" s="28"/>
      <c r="E39" s="28"/>
      <c r="F39" s="44"/>
      <c r="G39" s="44"/>
      <c r="H39" s="28"/>
      <c r="I39" s="28"/>
      <c r="J39" s="44"/>
      <c r="K39" s="44"/>
      <c r="L39" s="28">
        <f t="shared" si="4"/>
        <v>8190.84</v>
      </c>
      <c r="M39" s="28">
        <v>599.83000000000004</v>
      </c>
      <c r="N39" s="28">
        <f t="shared" si="3"/>
        <v>7591.01</v>
      </c>
      <c r="O39" s="38">
        <f t="shared" si="5"/>
        <v>2.3472359607052125E-3</v>
      </c>
    </row>
    <row r="40" spans="1:15" ht="15.95" customHeight="1" x14ac:dyDescent="0.2">
      <c r="A40" s="41" t="s">
        <v>44</v>
      </c>
      <c r="B40" s="29" t="s">
        <v>45</v>
      </c>
      <c r="C40" s="28">
        <v>67581.009999999995</v>
      </c>
      <c r="D40" s="28"/>
      <c r="E40" s="28"/>
      <c r="F40" s="44"/>
      <c r="G40" s="44"/>
      <c r="H40" s="28"/>
      <c r="I40" s="28"/>
      <c r="J40" s="44"/>
      <c r="K40" s="44"/>
      <c r="L40" s="28">
        <f t="shared" si="4"/>
        <v>67581.009999999995</v>
      </c>
      <c r="M40" s="28"/>
      <c r="N40" s="28">
        <f t="shared" si="3"/>
        <v>67581.009999999995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29" t="s">
        <v>158</v>
      </c>
      <c r="C41" s="28">
        <v>67581.009999999995</v>
      </c>
      <c r="D41" s="28"/>
      <c r="E41" s="28"/>
      <c r="F41" s="44"/>
      <c r="G41" s="44"/>
      <c r="H41" s="28"/>
      <c r="I41" s="28"/>
      <c r="J41" s="44"/>
      <c r="K41" s="44"/>
      <c r="L41" s="28">
        <f t="shared" si="4"/>
        <v>67581.009999999995</v>
      </c>
      <c r="M41" s="28"/>
      <c r="N41" s="28">
        <f t="shared" si="3"/>
        <v>67581.009999999995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29" t="s">
        <v>48</v>
      </c>
      <c r="C42" s="28">
        <v>4400</v>
      </c>
      <c r="D42" s="28"/>
      <c r="E42" s="28"/>
      <c r="F42" s="44"/>
      <c r="G42" s="44"/>
      <c r="H42" s="28"/>
      <c r="I42" s="28"/>
      <c r="J42" s="44"/>
      <c r="K42" s="44"/>
      <c r="L42" s="28">
        <f t="shared" si="4"/>
        <v>4400</v>
      </c>
      <c r="M42" s="28"/>
      <c r="N42" s="28">
        <f t="shared" si="3"/>
        <v>4400</v>
      </c>
      <c r="O42" s="38">
        <f t="shared" si="5"/>
        <v>0</v>
      </c>
    </row>
    <row r="43" spans="1:15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29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40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29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1" si="6">C46+D46-E46+F46-G46+H46+J46-K46</f>
        <v>13750</v>
      </c>
      <c r="M46" s="28">
        <v>346.37</v>
      </c>
      <c r="N46" s="28">
        <f t="shared" si="3"/>
        <v>13403.63</v>
      </c>
      <c r="O46" s="38">
        <f t="shared" ref="O46:O55" si="7">M46/$M$141</f>
        <v>1.3554042307144763E-3</v>
      </c>
    </row>
    <row r="47" spans="1:15" ht="15.95" customHeight="1" x14ac:dyDescent="0.2">
      <c r="A47" s="41" t="s">
        <v>92</v>
      </c>
      <c r="B47" s="29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v>7409.06</v>
      </c>
      <c r="N47" s="28">
        <f t="shared" si="3"/>
        <v>18690.939999999999</v>
      </c>
      <c r="O47" s="38">
        <f t="shared" si="7"/>
        <v>2.8992901433777172E-2</v>
      </c>
    </row>
    <row r="48" spans="1:15" ht="15.95" customHeight="1" x14ac:dyDescent="0.2">
      <c r="A48" s="41" t="s">
        <v>93</v>
      </c>
      <c r="B48" s="29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v>469.55</v>
      </c>
      <c r="N48" s="28">
        <f t="shared" si="3"/>
        <v>1530.45</v>
      </c>
      <c r="O48" s="38">
        <f t="shared" si="7"/>
        <v>1.8374283469468557E-3</v>
      </c>
    </row>
    <row r="49" spans="1:15" ht="15.95" customHeight="1" x14ac:dyDescent="0.2">
      <c r="A49" s="41" t="s">
        <v>94</v>
      </c>
      <c r="B49" s="29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/>
      <c r="N49" s="28">
        <f t="shared" si="3"/>
        <v>8000</v>
      </c>
      <c r="O49" s="38">
        <f t="shared" si="7"/>
        <v>0</v>
      </c>
    </row>
    <row r="50" spans="1:15" ht="15.95" customHeight="1" x14ac:dyDescent="0.2">
      <c r="A50" s="41" t="s">
        <v>95</v>
      </c>
      <c r="B50" s="29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v>295.35000000000002</v>
      </c>
      <c r="N50" s="28">
        <f t="shared" si="3"/>
        <v>13954.65</v>
      </c>
      <c r="O50" s="38">
        <f t="shared" si="7"/>
        <v>1.1557543653940023E-3</v>
      </c>
    </row>
    <row r="51" spans="1:15" ht="15.95" customHeight="1" x14ac:dyDescent="0.2">
      <c r="A51" s="41" t="s">
        <v>96</v>
      </c>
      <c r="B51" s="29" t="s">
        <v>161</v>
      </c>
      <c r="C51" s="28">
        <v>673088.47</v>
      </c>
      <c r="D51" s="28"/>
      <c r="E51" s="28"/>
      <c r="F51" s="44"/>
      <c r="G51" s="44"/>
      <c r="H51" s="28"/>
      <c r="I51" s="28"/>
      <c r="J51" s="44"/>
      <c r="K51" s="44"/>
      <c r="L51" s="28">
        <f>C51+D51-E51+F51-G51+H51-I51+J51-K51</f>
        <v>673088.47</v>
      </c>
      <c r="M51" s="28"/>
      <c r="N51" s="28">
        <f t="shared" si="3"/>
        <v>673088.47</v>
      </c>
      <c r="O51" s="38">
        <f t="shared" si="7"/>
        <v>0</v>
      </c>
    </row>
    <row r="52" spans="1:15" ht="15.95" customHeight="1" x14ac:dyDescent="0.2">
      <c r="A52" s="41" t="s">
        <v>97</v>
      </c>
      <c r="B52" s="29" t="s">
        <v>53</v>
      </c>
      <c r="C52" s="28">
        <v>563742.69999999995</v>
      </c>
      <c r="D52" s="28"/>
      <c r="E52" s="28"/>
      <c r="F52" s="44"/>
      <c r="G52" s="44"/>
      <c r="H52" s="28"/>
      <c r="I52" s="28"/>
      <c r="J52" s="44"/>
      <c r="K52" s="44"/>
      <c r="L52" s="28">
        <f>C52+D52-E52+F52-G52+H52+J52-K52</f>
        <v>563742.69999999995</v>
      </c>
      <c r="M52" s="28">
        <v>3740.5</v>
      </c>
      <c r="N52" s="28">
        <f t="shared" si="3"/>
        <v>560002.19999999995</v>
      </c>
      <c r="O52" s="38">
        <f t="shared" si="7"/>
        <v>1.4637207393791318E-2</v>
      </c>
    </row>
    <row r="53" spans="1:15" ht="15.95" customHeight="1" x14ac:dyDescent="0.2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/>
      <c r="I53" s="28"/>
      <c r="J53" s="44"/>
      <c r="K53" s="44"/>
      <c r="L53" s="28">
        <f>C53+D53-E53+F53-G53+H53+J53-K53</f>
        <v>500985.37</v>
      </c>
      <c r="M53" s="28">
        <v>48849.919999999998</v>
      </c>
      <c r="N53" s="28">
        <f t="shared" si="3"/>
        <v>452135.45</v>
      </c>
      <c r="O53" s="38">
        <f t="shared" si="7"/>
        <v>0.19115797626256231</v>
      </c>
    </row>
    <row r="54" spans="1:15" ht="15.95" customHeight="1" x14ac:dyDescent="0.2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/>
      <c r="N54" s="28">
        <f t="shared" si="3"/>
        <v>225000</v>
      </c>
      <c r="O54" s="38">
        <f t="shared" si="7"/>
        <v>0</v>
      </c>
    </row>
    <row r="55" spans="1:15" ht="15.95" customHeight="1" x14ac:dyDescent="0.2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/>
      <c r="K57" s="44"/>
      <c r="L57" s="28">
        <f t="shared" si="6"/>
        <v>4400</v>
      </c>
      <c r="M57" s="28"/>
      <c r="N57" s="28">
        <f t="shared" si="3"/>
        <v>4400</v>
      </c>
      <c r="O57" s="38">
        <f t="shared" ref="O57:O62" si="8">M57/$M$141</f>
        <v>0</v>
      </c>
    </row>
    <row r="58" spans="1:15" ht="15.95" customHeight="1" x14ac:dyDescent="0.2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 t="shared" si="8"/>
        <v>0</v>
      </c>
    </row>
    <row r="59" spans="1:15" ht="32.2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 t="shared" si="8"/>
        <v>0</v>
      </c>
    </row>
    <row r="60" spans="1:15" ht="31.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/>
      <c r="N60" s="28">
        <f t="shared" si="3"/>
        <v>7000</v>
      </c>
      <c r="O60" s="38">
        <f t="shared" si="8"/>
        <v>0</v>
      </c>
    </row>
    <row r="61" spans="1:15" ht="32.2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 t="shared" si="8"/>
        <v>1.7609258995337771E-3</v>
      </c>
    </row>
    <row r="62" spans="1:15" ht="15.95" hidden="1" customHeight="1" x14ac:dyDescent="0.2">
      <c r="A62" s="41" t="s">
        <v>106</v>
      </c>
      <c r="B62" s="29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0</v>
      </c>
      <c r="M62" s="28"/>
      <c r="N62" s="28">
        <f t="shared" si="3"/>
        <v>0</v>
      </c>
      <c r="O62" s="38">
        <f t="shared" si="8"/>
        <v>0</v>
      </c>
    </row>
    <row r="63" spans="1:15" ht="15.95" customHeight="1" x14ac:dyDescent="0.2">
      <c r="A63" s="41">
        <v>169</v>
      </c>
      <c r="B63" s="29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6"/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>
        <v>171</v>
      </c>
      <c r="B64" s="29" t="s">
        <v>167</v>
      </c>
      <c r="C64" s="28">
        <v>115000</v>
      </c>
      <c r="D64" s="28"/>
      <c r="E64" s="28"/>
      <c r="F64" s="44"/>
      <c r="G64" s="44"/>
      <c r="H64" s="28"/>
      <c r="I64" s="28"/>
      <c r="J64" s="44"/>
      <c r="K64" s="44"/>
      <c r="L64" s="28">
        <f>C64+D64-E64+F64-G64+H64+J64-I64-K64</f>
        <v>115000</v>
      </c>
      <c r="M64" s="28"/>
      <c r="N64" s="28">
        <f t="shared" si="3"/>
        <v>115000</v>
      </c>
      <c r="O64" s="38"/>
    </row>
    <row r="65" spans="1:15" ht="15.95" customHeight="1" x14ac:dyDescent="0.2">
      <c r="A65" s="41" t="s">
        <v>107</v>
      </c>
      <c r="B65" s="29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si="6"/>
        <v>30750</v>
      </c>
      <c r="M65" s="28"/>
      <c r="N65" s="28">
        <f t="shared" si="3"/>
        <v>30750</v>
      </c>
      <c r="O65" s="38">
        <f>M65/$M$141</f>
        <v>0</v>
      </c>
    </row>
    <row r="66" spans="1:15" ht="33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/>
      <c r="G66" s="44"/>
      <c r="H66" s="28"/>
      <c r="I66" s="28"/>
      <c r="J66" s="44"/>
      <c r="K66" s="44"/>
      <c r="L66" s="28">
        <f t="shared" si="6"/>
        <v>0</v>
      </c>
      <c r="M66" s="28"/>
      <c r="N66" s="28">
        <f t="shared" si="3"/>
        <v>0</v>
      </c>
      <c r="O66" s="38"/>
    </row>
    <row r="67" spans="1:15" ht="30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260706.83</v>
      </c>
      <c r="M67" s="28"/>
      <c r="N67" s="28">
        <f t="shared" si="3"/>
        <v>260706.83</v>
      </c>
      <c r="O67" s="38">
        <f t="shared" ref="O67:O81" si="9">M67/$M$141</f>
        <v>0</v>
      </c>
    </row>
    <row r="68" spans="1:15" ht="15.95" customHeight="1" x14ac:dyDescent="0.2">
      <c r="A68" s="41">
        <v>182</v>
      </c>
      <c r="B68" s="29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6"/>
        <v>10000</v>
      </c>
      <c r="M68" s="28"/>
      <c r="N68" s="28">
        <f t="shared" si="3"/>
        <v>10000</v>
      </c>
      <c r="O68" s="38">
        <f t="shared" si="9"/>
        <v>0</v>
      </c>
    </row>
    <row r="69" spans="1:15" ht="15.95" customHeight="1" x14ac:dyDescent="0.2">
      <c r="A69" s="41" t="s">
        <v>109</v>
      </c>
      <c r="B69" s="29" t="s">
        <v>170</v>
      </c>
      <c r="C69" s="28">
        <v>54000</v>
      </c>
      <c r="D69" s="28"/>
      <c r="E69" s="28"/>
      <c r="F69" s="44"/>
      <c r="G69" s="44"/>
      <c r="H69" s="28"/>
      <c r="I69" s="28"/>
      <c r="J69" s="44"/>
      <c r="K69" s="44"/>
      <c r="L69" s="28">
        <f t="shared" si="6"/>
        <v>54000</v>
      </c>
      <c r="M69" s="28">
        <v>1018.44</v>
      </c>
      <c r="N69" s="28">
        <f t="shared" si="3"/>
        <v>52981.56</v>
      </c>
      <c r="O69" s="38">
        <f t="shared" si="9"/>
        <v>3.9853274958248442E-3</v>
      </c>
    </row>
    <row r="70" spans="1:15" ht="33.75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/>
      <c r="G70" s="44"/>
      <c r="H70" s="28"/>
      <c r="I70" s="28"/>
      <c r="J70" s="44"/>
      <c r="K70" s="44"/>
      <c r="L70" s="28">
        <f t="shared" si="6"/>
        <v>54000</v>
      </c>
      <c r="M70" s="28">
        <v>4500</v>
      </c>
      <c r="N70" s="28">
        <f t="shared" si="3"/>
        <v>49500</v>
      </c>
      <c r="O70" s="38">
        <f t="shared" si="9"/>
        <v>1.760925899533777E-2</v>
      </c>
    </row>
    <row r="71" spans="1:15" ht="15.95" customHeight="1" x14ac:dyDescent="0.2">
      <c r="A71" s="41" t="s">
        <v>111</v>
      </c>
      <c r="B71" s="29" t="s">
        <v>57</v>
      </c>
      <c r="C71" s="28">
        <v>7500</v>
      </c>
      <c r="D71" s="28"/>
      <c r="E71" s="28"/>
      <c r="F71" s="44"/>
      <c r="G71" s="44"/>
      <c r="H71" s="28"/>
      <c r="I71" s="28"/>
      <c r="J71" s="44"/>
      <c r="K71" s="44"/>
      <c r="L71" s="28">
        <f t="shared" si="6"/>
        <v>7500</v>
      </c>
      <c r="M71" s="28"/>
      <c r="N71" s="28">
        <f t="shared" si="3"/>
        <v>7500</v>
      </c>
      <c r="O71" s="38">
        <f t="shared" si="9"/>
        <v>0</v>
      </c>
    </row>
    <row r="72" spans="1:15" ht="33.75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6"/>
        <v>24540</v>
      </c>
      <c r="M72" s="28"/>
      <c r="N72" s="28">
        <f t="shared" si="3"/>
        <v>24540</v>
      </c>
      <c r="O72" s="38">
        <f t="shared" si="9"/>
        <v>0</v>
      </c>
    </row>
    <row r="73" spans="1:15" ht="15.95" customHeight="1" x14ac:dyDescent="0.2">
      <c r="A73" s="41" t="s">
        <v>113</v>
      </c>
      <c r="B73" s="29" t="s">
        <v>173</v>
      </c>
      <c r="C73" s="28">
        <v>863300</v>
      </c>
      <c r="D73" s="28"/>
      <c r="E73" s="28"/>
      <c r="F73" s="44"/>
      <c r="G73" s="44"/>
      <c r="H73" s="28"/>
      <c r="I73" s="28"/>
      <c r="J73" s="44"/>
      <c r="K73" s="44"/>
      <c r="L73" s="28">
        <f>C73+D73-E73+F73-G73+H73-I73+J73-K73</f>
        <v>863300</v>
      </c>
      <c r="M73" s="28">
        <v>93776.76</v>
      </c>
      <c r="N73" s="28">
        <f t="shared" si="3"/>
        <v>769523.24</v>
      </c>
      <c r="O73" s="38">
        <f t="shared" si="9"/>
        <v>0.36696427879636245</v>
      </c>
    </row>
    <row r="74" spans="1:15" ht="15.95" customHeight="1" x14ac:dyDescent="0.2">
      <c r="A74" s="41" t="s">
        <v>114</v>
      </c>
      <c r="B74" s="29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 t="shared" si="6"/>
        <v>8000</v>
      </c>
      <c r="M74" s="28"/>
      <c r="N74" s="28">
        <f t="shared" si="3"/>
        <v>8000</v>
      </c>
      <c r="O74" s="38">
        <f t="shared" si="9"/>
        <v>0</v>
      </c>
    </row>
    <row r="75" spans="1:15" ht="15.95" customHeight="1" x14ac:dyDescent="0.2">
      <c r="A75" s="41" t="s">
        <v>115</v>
      </c>
      <c r="B75" s="29" t="s">
        <v>58</v>
      </c>
      <c r="C75" s="28">
        <v>176000</v>
      </c>
      <c r="D75" s="28"/>
      <c r="E75" s="28"/>
      <c r="F75" s="44"/>
      <c r="G75" s="44"/>
      <c r="H75" s="28"/>
      <c r="I75" s="28"/>
      <c r="J75" s="44"/>
      <c r="K75" s="44"/>
      <c r="L75" s="28">
        <f>C75+D75-E75+F75-G75+H75+J75-I75-K75</f>
        <v>176000</v>
      </c>
      <c r="M75" s="28"/>
      <c r="N75" s="28">
        <f t="shared" si="3"/>
        <v>176000</v>
      </c>
      <c r="O75" s="38">
        <f t="shared" si="9"/>
        <v>0</v>
      </c>
    </row>
    <row r="76" spans="1:15" ht="15.95" customHeight="1" x14ac:dyDescent="0.2">
      <c r="A76" s="41" t="s">
        <v>116</v>
      </c>
      <c r="B76" s="29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8250</v>
      </c>
      <c r="M76" s="28"/>
      <c r="N76" s="28">
        <f t="shared" si="3"/>
        <v>8250</v>
      </c>
      <c r="O76" s="38">
        <f t="shared" si="9"/>
        <v>0</v>
      </c>
    </row>
    <row r="77" spans="1:15" ht="15.95" customHeight="1" x14ac:dyDescent="0.2">
      <c r="A77" s="41" t="s">
        <v>117</v>
      </c>
      <c r="B77" s="29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2500</v>
      </c>
      <c r="M77" s="28">
        <v>50</v>
      </c>
      <c r="N77" s="28">
        <f t="shared" si="3"/>
        <v>2450</v>
      </c>
      <c r="O77" s="38">
        <f t="shared" si="9"/>
        <v>1.9565843328153077E-4</v>
      </c>
    </row>
    <row r="78" spans="1:15" ht="15.95" customHeight="1" x14ac:dyDescent="0.2">
      <c r="A78" s="41" t="s">
        <v>118</v>
      </c>
      <c r="B78" s="29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 t="shared" si="6"/>
        <v>125000</v>
      </c>
      <c r="M78" s="28">
        <v>10</v>
      </c>
      <c r="N78" s="28">
        <f t="shared" si="3"/>
        <v>124990</v>
      </c>
      <c r="O78" s="38">
        <f t="shared" si="9"/>
        <v>3.9131686656306157E-5</v>
      </c>
    </row>
    <row r="79" spans="1:15" ht="15.95" customHeight="1" x14ac:dyDescent="0.2">
      <c r="A79" s="41" t="s">
        <v>119</v>
      </c>
      <c r="B79" s="29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 t="shared" ref="L79:L80" si="10">C79+D79-E79+F79-G79+H79+J79-I79-K79</f>
        <v>50000</v>
      </c>
      <c r="M79" s="28"/>
      <c r="N79" s="28">
        <f t="shared" si="3"/>
        <v>50000</v>
      </c>
      <c r="O79" s="38">
        <f t="shared" si="9"/>
        <v>0</v>
      </c>
    </row>
    <row r="80" spans="1:15" ht="15.95" customHeight="1" x14ac:dyDescent="0.2">
      <c r="A80" s="41" t="s">
        <v>178</v>
      </c>
      <c r="B80" s="29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 t="shared" si="10"/>
        <v>46100</v>
      </c>
      <c r="M80" s="28"/>
      <c r="N80" s="28">
        <f t="shared" si="3"/>
        <v>46100</v>
      </c>
      <c r="O80" s="38">
        <f t="shared" si="9"/>
        <v>0</v>
      </c>
    </row>
    <row r="81" spans="1:15" ht="15.95" customHeight="1" x14ac:dyDescent="0.2">
      <c r="A81" s="41" t="s">
        <v>120</v>
      </c>
      <c r="B81" s="29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 t="shared" si="6"/>
        <v>51000</v>
      </c>
      <c r="M81" s="28"/>
      <c r="N81" s="28">
        <f t="shared" si="3"/>
        <v>51000</v>
      </c>
      <c r="O81" s="38">
        <f t="shared" si="9"/>
        <v>0</v>
      </c>
    </row>
    <row r="82" spans="1:15" ht="15.95" customHeight="1" x14ac:dyDescent="0.2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29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40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29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121" si="11">C85+D85-E85+F85-G85+H85+J85-K85</f>
        <v>146784.1</v>
      </c>
      <c r="M85" s="28">
        <v>2380.6999999999998</v>
      </c>
      <c r="N85" s="28">
        <f t="shared" si="3"/>
        <v>144403.4</v>
      </c>
      <c r="O85" s="38">
        <f t="shared" ref="O85:O121" si="12">M85/$M$141</f>
        <v>9.3160806422668066E-3</v>
      </c>
    </row>
    <row r="86" spans="1:15" ht="15.95" hidden="1" customHeight="1" x14ac:dyDescent="0.2">
      <c r="A86" s="41">
        <v>214</v>
      </c>
      <c r="B86" s="29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1"/>
        <v>0</v>
      </c>
      <c r="M86" s="28"/>
      <c r="N86" s="28">
        <f t="shared" si="3"/>
        <v>0</v>
      </c>
      <c r="O86" s="38">
        <f t="shared" si="12"/>
        <v>0</v>
      </c>
    </row>
    <row r="87" spans="1:15" ht="15.95" customHeight="1" x14ac:dyDescent="0.2">
      <c r="A87" s="41">
        <v>223</v>
      </c>
      <c r="B87" s="29" t="s">
        <v>192</v>
      </c>
      <c r="C87" s="28">
        <v>2000</v>
      </c>
      <c r="D87" s="28"/>
      <c r="E87" s="28"/>
      <c r="F87" s="44"/>
      <c r="G87" s="44"/>
      <c r="H87" s="28"/>
      <c r="I87" s="28"/>
      <c r="J87" s="44"/>
      <c r="K87" s="44"/>
      <c r="L87" s="28">
        <f t="shared" si="11"/>
        <v>2000</v>
      </c>
      <c r="M87" s="28"/>
      <c r="N87" s="28">
        <f t="shared" si="3"/>
        <v>2000</v>
      </c>
      <c r="O87" s="38">
        <f t="shared" si="12"/>
        <v>0</v>
      </c>
    </row>
    <row r="88" spans="1:15" ht="15.95" hidden="1" customHeight="1" x14ac:dyDescent="0.2">
      <c r="A88" s="41">
        <v>229</v>
      </c>
      <c r="B88" s="29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1"/>
        <v>0</v>
      </c>
      <c r="M88" s="28"/>
      <c r="N88" s="28">
        <f t="shared" si="3"/>
        <v>0</v>
      </c>
      <c r="O88" s="38">
        <f t="shared" si="12"/>
        <v>0</v>
      </c>
    </row>
    <row r="89" spans="1:15" ht="15.95" customHeight="1" x14ac:dyDescent="0.2">
      <c r="A89" s="41" t="s">
        <v>122</v>
      </c>
      <c r="B89" s="29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1"/>
        <v>5000</v>
      </c>
      <c r="M89" s="28">
        <v>94.99</v>
      </c>
      <c r="N89" s="28">
        <f t="shared" si="3"/>
        <v>4905.01</v>
      </c>
      <c r="O89" s="38">
        <f t="shared" si="12"/>
        <v>3.7171189154825215E-4</v>
      </c>
    </row>
    <row r="90" spans="1:15" ht="15.95" customHeight="1" x14ac:dyDescent="0.2">
      <c r="A90" s="41" t="s">
        <v>123</v>
      </c>
      <c r="B90" s="29" t="s">
        <v>63</v>
      </c>
      <c r="C90" s="28">
        <v>33800</v>
      </c>
      <c r="D90" s="28"/>
      <c r="E90" s="28"/>
      <c r="F90" s="44"/>
      <c r="G90" s="44"/>
      <c r="H90" s="28"/>
      <c r="I90" s="28"/>
      <c r="J90" s="44"/>
      <c r="K90" s="44"/>
      <c r="L90" s="28">
        <f t="shared" si="11"/>
        <v>33800</v>
      </c>
      <c r="M90" s="28"/>
      <c r="N90" s="28">
        <f t="shared" si="3"/>
        <v>33800</v>
      </c>
      <c r="O90" s="38">
        <f t="shared" si="12"/>
        <v>0</v>
      </c>
    </row>
    <row r="91" spans="1:15" ht="15.95" customHeight="1" x14ac:dyDescent="0.2">
      <c r="A91" s="41" t="s">
        <v>124</v>
      </c>
      <c r="B91" s="29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 t="shared" ref="L91" si="13">C91+D91-E91+F91-G91+H91+J91-I91-K91</f>
        <v>5250</v>
      </c>
      <c r="M91" s="28">
        <v>439</v>
      </c>
      <c r="N91" s="28">
        <f t="shared" si="3"/>
        <v>4811</v>
      </c>
      <c r="O91" s="38">
        <f t="shared" si="12"/>
        <v>1.7178810442118402E-3</v>
      </c>
    </row>
    <row r="92" spans="1:15" ht="15.95" customHeight="1" x14ac:dyDescent="0.2">
      <c r="A92" s="41" t="s">
        <v>125</v>
      </c>
      <c r="B92" s="29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 t="shared" si="11"/>
        <v>10500</v>
      </c>
      <c r="M92" s="28">
        <v>970</v>
      </c>
      <c r="N92" s="28">
        <f t="shared" si="3"/>
        <v>9530</v>
      </c>
      <c r="O92" s="38">
        <f t="shared" si="12"/>
        <v>3.7957736056616971E-3</v>
      </c>
    </row>
    <row r="93" spans="1:15" ht="15.95" customHeight="1" x14ac:dyDescent="0.2">
      <c r="A93" s="41" t="s">
        <v>126</v>
      </c>
      <c r="B93" s="29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 t="shared" ref="L93" si="14">C93+D93-E93+F93-G93+H93+J93-I93-K93</f>
        <v>3050</v>
      </c>
      <c r="M93" s="28">
        <v>394.5</v>
      </c>
      <c r="N93" s="28">
        <f t="shared" si="3"/>
        <v>2655.5</v>
      </c>
      <c r="O93" s="38">
        <f t="shared" si="12"/>
        <v>1.5437450385912778E-3</v>
      </c>
    </row>
    <row r="94" spans="1:15" ht="15.95" customHeight="1" x14ac:dyDescent="0.2">
      <c r="A94" s="41" t="s">
        <v>127</v>
      </c>
      <c r="B94" s="29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si="11"/>
        <v>875</v>
      </c>
      <c r="M94" s="28"/>
      <c r="N94" s="28">
        <f t="shared" si="3"/>
        <v>875</v>
      </c>
      <c r="O94" s="38">
        <f t="shared" si="12"/>
        <v>0</v>
      </c>
    </row>
    <row r="95" spans="1:15" ht="15.95" customHeight="1" x14ac:dyDescent="0.2">
      <c r="A95" s="41" t="s">
        <v>128</v>
      </c>
      <c r="B95" s="29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1"/>
        <v>5500</v>
      </c>
      <c r="M95" s="28"/>
      <c r="N95" s="28">
        <f t="shared" si="3"/>
        <v>5500</v>
      </c>
      <c r="O95" s="38">
        <f t="shared" si="12"/>
        <v>0</v>
      </c>
    </row>
    <row r="96" spans="1:15" ht="15.95" customHeight="1" x14ac:dyDescent="0.2">
      <c r="A96" s="41" t="s">
        <v>129</v>
      </c>
      <c r="B96" s="29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1"/>
        <v>2700</v>
      </c>
      <c r="M96" s="28"/>
      <c r="N96" s="28">
        <f t="shared" si="3"/>
        <v>2700</v>
      </c>
      <c r="O96" s="38">
        <f t="shared" si="12"/>
        <v>0</v>
      </c>
    </row>
    <row r="97" spans="1:15" ht="15.95" customHeight="1" x14ac:dyDescent="0.2">
      <c r="A97" s="41" t="s">
        <v>196</v>
      </c>
      <c r="B97" s="29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1"/>
        <v>2800</v>
      </c>
      <c r="M97" s="28">
        <v>89</v>
      </c>
      <c r="N97" s="28">
        <f t="shared" si="3"/>
        <v>2711</v>
      </c>
      <c r="O97" s="38">
        <f t="shared" si="12"/>
        <v>3.4827201124112479E-4</v>
      </c>
    </row>
    <row r="98" spans="1:15" ht="15.95" customHeight="1" x14ac:dyDescent="0.2">
      <c r="A98" s="41" t="s">
        <v>130</v>
      </c>
      <c r="B98" s="29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1"/>
        <v>8500</v>
      </c>
      <c r="M98" s="28">
        <v>687.48</v>
      </c>
      <c r="N98" s="28">
        <f t="shared" si="3"/>
        <v>7812.52</v>
      </c>
      <c r="O98" s="38">
        <f t="shared" si="12"/>
        <v>2.6902251942477356E-3</v>
      </c>
    </row>
    <row r="99" spans="1:15" ht="15.95" customHeight="1" x14ac:dyDescent="0.2">
      <c r="A99" s="41" t="s">
        <v>131</v>
      </c>
      <c r="B99" s="29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1"/>
        <v>6000</v>
      </c>
      <c r="M99" s="28"/>
      <c r="N99" s="28">
        <f t="shared" si="3"/>
        <v>6000</v>
      </c>
      <c r="O99" s="38">
        <f t="shared" si="12"/>
        <v>0</v>
      </c>
    </row>
    <row r="100" spans="1:15" ht="15.95" customHeight="1" x14ac:dyDescent="0.2">
      <c r="A100" s="41" t="s">
        <v>132</v>
      </c>
      <c r="B100" s="29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/>
      <c r="K100" s="44"/>
      <c r="L100" s="28">
        <f t="shared" si="11"/>
        <v>17500</v>
      </c>
      <c r="M100" s="28">
        <v>862.5</v>
      </c>
      <c r="N100" s="28">
        <f t="shared" si="3"/>
        <v>16637.5</v>
      </c>
      <c r="O100" s="38">
        <f t="shared" si="12"/>
        <v>3.3751079741064058E-3</v>
      </c>
    </row>
    <row r="101" spans="1:15" ht="15.95" customHeight="1" x14ac:dyDescent="0.2">
      <c r="A101" s="41" t="s">
        <v>133</v>
      </c>
      <c r="B101" s="29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1"/>
        <v>3000</v>
      </c>
      <c r="M101" s="28">
        <v>691.35</v>
      </c>
      <c r="N101" s="28">
        <f t="shared" si="3"/>
        <v>2308.65</v>
      </c>
      <c r="O101" s="38">
        <f t="shared" si="12"/>
        <v>2.7053691569837264E-3</v>
      </c>
    </row>
    <row r="102" spans="1:15" ht="15.95" customHeight="1" x14ac:dyDescent="0.2">
      <c r="A102" s="41" t="s">
        <v>134</v>
      </c>
      <c r="B102" s="29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1"/>
        <v>1500</v>
      </c>
      <c r="M102" s="28"/>
      <c r="N102" s="28">
        <f t="shared" ref="N102:N140" si="15">L102-M102</f>
        <v>1500</v>
      </c>
      <c r="O102" s="38">
        <f t="shared" si="12"/>
        <v>0</v>
      </c>
    </row>
    <row r="103" spans="1:15" ht="15.95" customHeight="1" x14ac:dyDescent="0.2">
      <c r="A103" s="41" t="s">
        <v>135</v>
      </c>
      <c r="B103" s="29" t="s">
        <v>70</v>
      </c>
      <c r="C103" s="28">
        <v>181653.08</v>
      </c>
      <c r="D103" s="28"/>
      <c r="E103" s="28"/>
      <c r="F103" s="44"/>
      <c r="G103" s="44"/>
      <c r="H103" s="28"/>
      <c r="I103" s="28"/>
      <c r="J103" s="44"/>
      <c r="K103" s="44"/>
      <c r="L103" s="28">
        <f t="shared" si="11"/>
        <v>181653.08</v>
      </c>
      <c r="M103" s="28"/>
      <c r="N103" s="28">
        <f t="shared" si="15"/>
        <v>181653.08</v>
      </c>
      <c r="O103" s="38">
        <f t="shared" si="12"/>
        <v>0</v>
      </c>
    </row>
    <row r="104" spans="1:15" ht="15.95" hidden="1" customHeight="1" x14ac:dyDescent="0.2">
      <c r="A104" s="41">
        <v>272</v>
      </c>
      <c r="B104" s="29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1"/>
        <v>0</v>
      </c>
      <c r="M104" s="28"/>
      <c r="N104" s="28">
        <f t="shared" si="15"/>
        <v>0</v>
      </c>
      <c r="O104" s="38">
        <f t="shared" si="12"/>
        <v>0</v>
      </c>
    </row>
    <row r="105" spans="1:15" ht="15.95" hidden="1" customHeight="1" x14ac:dyDescent="0.2">
      <c r="A105" s="41" t="s">
        <v>136</v>
      </c>
      <c r="B105" s="29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1"/>
        <v>0</v>
      </c>
      <c r="M105" s="28"/>
      <c r="N105" s="28">
        <f t="shared" si="15"/>
        <v>0</v>
      </c>
      <c r="O105" s="38">
        <f t="shared" si="12"/>
        <v>0</v>
      </c>
    </row>
    <row r="106" spans="1:15" ht="15.95" customHeight="1" x14ac:dyDescent="0.2">
      <c r="A106" s="41">
        <v>274</v>
      </c>
      <c r="B106" s="29" t="s">
        <v>71</v>
      </c>
      <c r="C106" s="28">
        <v>1500</v>
      </c>
      <c r="D106" s="28"/>
      <c r="E106" s="28"/>
      <c r="F106" s="44"/>
      <c r="G106" s="44"/>
      <c r="H106" s="28"/>
      <c r="I106" s="28"/>
      <c r="J106" s="44"/>
      <c r="K106" s="44"/>
      <c r="L106" s="28">
        <f t="shared" si="11"/>
        <v>1500</v>
      </c>
      <c r="M106" s="28"/>
      <c r="N106" s="28">
        <f t="shared" si="15"/>
        <v>1500</v>
      </c>
      <c r="O106" s="38">
        <f t="shared" si="12"/>
        <v>0</v>
      </c>
    </row>
    <row r="107" spans="1:15" ht="15.95" hidden="1" customHeight="1" x14ac:dyDescent="0.2">
      <c r="A107" s="41">
        <v>275</v>
      </c>
      <c r="B107" s="29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1"/>
        <v>0</v>
      </c>
      <c r="M107" s="28"/>
      <c r="N107" s="28">
        <f t="shared" si="15"/>
        <v>0</v>
      </c>
      <c r="O107" s="38">
        <f t="shared" si="12"/>
        <v>0</v>
      </c>
    </row>
    <row r="108" spans="1:15" ht="15.95" customHeight="1" x14ac:dyDescent="0.2">
      <c r="A108" s="41">
        <v>279</v>
      </c>
      <c r="B108" s="29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1"/>
        <v>750</v>
      </c>
      <c r="M108" s="28"/>
      <c r="N108" s="28">
        <f t="shared" si="15"/>
        <v>750</v>
      </c>
      <c r="O108" s="38">
        <f t="shared" si="12"/>
        <v>0</v>
      </c>
    </row>
    <row r="109" spans="1:15" ht="15.95" hidden="1" customHeight="1" x14ac:dyDescent="0.2">
      <c r="A109" s="41">
        <v>281</v>
      </c>
      <c r="B109" s="29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1"/>
        <v>0</v>
      </c>
      <c r="M109" s="28"/>
      <c r="N109" s="28">
        <f t="shared" si="15"/>
        <v>0</v>
      </c>
      <c r="O109" s="38">
        <f t="shared" si="12"/>
        <v>0</v>
      </c>
    </row>
    <row r="110" spans="1:15" ht="15.95" customHeight="1" x14ac:dyDescent="0.2">
      <c r="A110" s="41" t="s">
        <v>137</v>
      </c>
      <c r="B110" s="29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1"/>
        <v>4800</v>
      </c>
      <c r="M110" s="28">
        <v>31.6</v>
      </c>
      <c r="N110" s="28">
        <f t="shared" si="15"/>
        <v>4768.3999999999996</v>
      </c>
      <c r="O110" s="38">
        <f t="shared" si="12"/>
        <v>1.2365612983392745E-4</v>
      </c>
    </row>
    <row r="111" spans="1:15" ht="15.95" customHeight="1" x14ac:dyDescent="0.2">
      <c r="A111" s="41" t="s">
        <v>138</v>
      </c>
      <c r="B111" s="29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1"/>
        <v>28800</v>
      </c>
      <c r="M111" s="28"/>
      <c r="N111" s="28">
        <f t="shared" si="15"/>
        <v>28800</v>
      </c>
      <c r="O111" s="38">
        <f t="shared" si="12"/>
        <v>0</v>
      </c>
    </row>
    <row r="112" spans="1:15" ht="15.95" customHeight="1" x14ac:dyDescent="0.2">
      <c r="A112" s="41" t="s">
        <v>139</v>
      </c>
      <c r="B112" s="29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/>
      <c r="N112" s="28">
        <f t="shared" si="15"/>
        <v>1300000</v>
      </c>
      <c r="O112" s="38">
        <f t="shared" si="12"/>
        <v>0</v>
      </c>
    </row>
    <row r="113" spans="1:15" ht="15.95" customHeight="1" x14ac:dyDescent="0.2">
      <c r="A113" s="41">
        <v>286</v>
      </c>
      <c r="B113" s="29" t="s">
        <v>207</v>
      </c>
      <c r="C113" s="28">
        <v>1500</v>
      </c>
      <c r="D113" s="28"/>
      <c r="E113" s="28"/>
      <c r="F113" s="44"/>
      <c r="G113" s="44"/>
      <c r="H113" s="28"/>
      <c r="I113" s="28"/>
      <c r="J113" s="44"/>
      <c r="K113" s="44"/>
      <c r="L113" s="28">
        <f t="shared" si="11"/>
        <v>1500</v>
      </c>
      <c r="M113" s="28">
        <v>118</v>
      </c>
      <c r="N113" s="28">
        <f t="shared" si="15"/>
        <v>1382</v>
      </c>
      <c r="O113" s="38">
        <f t="shared" si="12"/>
        <v>4.6175390254441266E-4</v>
      </c>
    </row>
    <row r="114" spans="1:15" ht="15.95" hidden="1" customHeight="1" x14ac:dyDescent="0.2">
      <c r="A114" s="41">
        <v>289</v>
      </c>
      <c r="B114" s="29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1"/>
        <v>0</v>
      </c>
      <c r="M114" s="28"/>
      <c r="N114" s="28">
        <f t="shared" si="15"/>
        <v>0</v>
      </c>
      <c r="O114" s="38">
        <f t="shared" si="12"/>
        <v>0</v>
      </c>
    </row>
    <row r="115" spans="1:15" ht="15.95" customHeight="1" x14ac:dyDescent="0.2">
      <c r="A115" s="41" t="s">
        <v>140</v>
      </c>
      <c r="B115" s="29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1"/>
        <v>6600</v>
      </c>
      <c r="M115" s="28">
        <v>170.3</v>
      </c>
      <c r="N115" s="28">
        <f t="shared" si="15"/>
        <v>6429.7</v>
      </c>
      <c r="O115" s="38">
        <f t="shared" si="12"/>
        <v>6.6641262375689392E-4</v>
      </c>
    </row>
    <row r="116" spans="1:15" ht="30.75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1"/>
        <v>4000</v>
      </c>
      <c r="M116" s="28">
        <v>274.10000000000002</v>
      </c>
      <c r="N116" s="28">
        <f t="shared" si="15"/>
        <v>3725.9</v>
      </c>
      <c r="O116" s="38">
        <f t="shared" si="12"/>
        <v>1.0725995312493518E-3</v>
      </c>
    </row>
    <row r="117" spans="1:15" ht="15.95" customHeight="1" x14ac:dyDescent="0.2">
      <c r="A117" s="41" t="s">
        <v>142</v>
      </c>
      <c r="B117" s="29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1"/>
        <v>25251.9</v>
      </c>
      <c r="M117" s="28"/>
      <c r="N117" s="28">
        <f t="shared" si="15"/>
        <v>25251.9</v>
      </c>
      <c r="O117" s="38">
        <f t="shared" si="12"/>
        <v>0</v>
      </c>
    </row>
    <row r="118" spans="1:15" ht="15.95" customHeight="1" x14ac:dyDescent="0.2">
      <c r="A118" s="41" t="s">
        <v>143</v>
      </c>
      <c r="B118" s="29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1"/>
        <v>2000</v>
      </c>
      <c r="M118" s="28"/>
      <c r="N118" s="28">
        <f t="shared" si="15"/>
        <v>2000</v>
      </c>
      <c r="O118" s="38">
        <f t="shared" si="12"/>
        <v>0</v>
      </c>
    </row>
    <row r="119" spans="1:15" ht="30.75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/>
      <c r="I119" s="28"/>
      <c r="J119" s="44"/>
      <c r="K119" s="44"/>
      <c r="L119" s="28">
        <f t="shared" si="11"/>
        <v>9500</v>
      </c>
      <c r="M119" s="28"/>
      <c r="N119" s="28">
        <f t="shared" si="15"/>
        <v>9500</v>
      </c>
      <c r="O119" s="38">
        <f t="shared" si="12"/>
        <v>0</v>
      </c>
    </row>
    <row r="120" spans="1:15" ht="15.95" customHeight="1" x14ac:dyDescent="0.2">
      <c r="A120" s="41" t="s">
        <v>145</v>
      </c>
      <c r="B120" s="29" t="s">
        <v>77</v>
      </c>
      <c r="C120" s="28">
        <v>76000</v>
      </c>
      <c r="D120" s="28"/>
      <c r="E120" s="28"/>
      <c r="F120" s="44"/>
      <c r="G120" s="44"/>
      <c r="H120" s="28"/>
      <c r="I120" s="28"/>
      <c r="J120" s="44"/>
      <c r="K120" s="44"/>
      <c r="L120" s="28">
        <f t="shared" si="11"/>
        <v>76000</v>
      </c>
      <c r="M120" s="28"/>
      <c r="N120" s="28">
        <f t="shared" si="15"/>
        <v>76000</v>
      </c>
      <c r="O120" s="38">
        <f t="shared" si="12"/>
        <v>0</v>
      </c>
    </row>
    <row r="121" spans="1:15" ht="15.95" customHeight="1" x14ac:dyDescent="0.2">
      <c r="A121" s="41" t="s">
        <v>146</v>
      </c>
      <c r="B121" s="29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1"/>
        <v>9500</v>
      </c>
      <c r="M121" s="28">
        <v>256.14999999999998</v>
      </c>
      <c r="N121" s="28">
        <f t="shared" si="15"/>
        <v>9243.85</v>
      </c>
      <c r="O121" s="38">
        <f t="shared" si="12"/>
        <v>1.002358153701282E-3</v>
      </c>
    </row>
    <row r="122" spans="1:15" ht="15.95" customHeight="1" x14ac:dyDescent="0.2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29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40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43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1" si="16">C126+D126-E126+F126-G126+H126+J126-K126</f>
        <v>10000</v>
      </c>
      <c r="M126" s="28"/>
      <c r="N126" s="28">
        <f t="shared" si="15"/>
        <v>10000</v>
      </c>
      <c r="O126" s="38">
        <f>M126/$M$141</f>
        <v>0</v>
      </c>
    </row>
    <row r="127" spans="1:15" ht="15.95" hidden="1" customHeight="1" x14ac:dyDescent="0.2">
      <c r="A127" s="42" t="s">
        <v>80</v>
      </c>
      <c r="B127" s="43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6"/>
        <v>0</v>
      </c>
      <c r="M127" s="28"/>
      <c r="N127" s="28">
        <f t="shared" si="15"/>
        <v>0</v>
      </c>
      <c r="O127" s="38">
        <f>M127/$M$141</f>
        <v>0</v>
      </c>
    </row>
    <row r="128" spans="1:15" ht="15.95" customHeight="1" x14ac:dyDescent="0.2">
      <c r="A128" s="42" t="s">
        <v>214</v>
      </c>
      <c r="B128" s="43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6"/>
        <v>304035</v>
      </c>
      <c r="M128" s="28"/>
      <c r="N128" s="28">
        <f t="shared" si="15"/>
        <v>304035</v>
      </c>
      <c r="O128" s="38">
        <f>M128/$M$141</f>
        <v>0</v>
      </c>
    </row>
    <row r="129" spans="1:15" ht="15.95" customHeight="1" x14ac:dyDescent="0.2">
      <c r="A129" s="42" t="s">
        <v>216</v>
      </c>
      <c r="B129" s="43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28">
        <f t="shared" si="16"/>
        <v>1500</v>
      </c>
      <c r="M129" s="28"/>
      <c r="N129" s="28">
        <f t="shared" si="15"/>
        <v>1500</v>
      </c>
      <c r="O129" s="38">
        <f>M129/$M$141</f>
        <v>0</v>
      </c>
    </row>
    <row r="130" spans="1:15" ht="15.95" customHeight="1" x14ac:dyDescent="0.2">
      <c r="A130" s="42">
        <v>328</v>
      </c>
      <c r="B130" s="43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6"/>
        <v>40000</v>
      </c>
      <c r="M130" s="28"/>
      <c r="N130" s="28">
        <f t="shared" si="15"/>
        <v>40000</v>
      </c>
      <c r="O130" s="38">
        <f>+M130/M141</f>
        <v>0</v>
      </c>
    </row>
    <row r="131" spans="1:15" ht="15.95" customHeight="1" x14ac:dyDescent="0.2">
      <c r="A131" s="42" t="s">
        <v>218</v>
      </c>
      <c r="B131" s="43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6"/>
        <v>14300</v>
      </c>
      <c r="M131" s="28"/>
      <c r="N131" s="28">
        <f t="shared" si="15"/>
        <v>14300</v>
      </c>
      <c r="O131" s="38">
        <f>M131/$M$141</f>
        <v>0</v>
      </c>
    </row>
    <row r="132" spans="1:15" ht="15.95" hidden="1" customHeight="1" x14ac:dyDescent="0.2">
      <c r="A132" s="42" t="s">
        <v>220</v>
      </c>
      <c r="B132" s="43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ref="L132" si="17">C132+D132-E132+F132-G132+J132-K132</f>
        <v>0</v>
      </c>
      <c r="M132" s="28"/>
      <c r="N132" s="28">
        <f t="shared" si="15"/>
        <v>0</v>
      </c>
      <c r="O132" s="38">
        <f>M132/$M$141</f>
        <v>0</v>
      </c>
    </row>
    <row r="133" spans="1:15" ht="15.95" customHeight="1" x14ac:dyDescent="0.2">
      <c r="A133" s="42"/>
      <c r="B133" s="43"/>
      <c r="C133" s="44"/>
      <c r="D133" s="28"/>
      <c r="E133" s="28"/>
      <c r="F133" s="44"/>
      <c r="G133" s="44"/>
      <c r="H133" s="28"/>
      <c r="I133" s="28"/>
      <c r="J133" s="44"/>
      <c r="K133" s="44"/>
      <c r="L133" s="28"/>
      <c r="M133" s="28"/>
      <c r="N133" s="28"/>
      <c r="O133" s="38"/>
    </row>
    <row r="134" spans="1:15" ht="15.95" customHeight="1" x14ac:dyDescent="0.2">
      <c r="A134" s="41"/>
      <c r="B134" s="29"/>
      <c r="C134" s="28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5">
      <c r="A135" s="39">
        <v>4</v>
      </c>
      <c r="B135" s="40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">
      <c r="A136" s="41" t="s">
        <v>222</v>
      </c>
      <c r="B136" s="29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28">
        <f t="shared" ref="L136:L137" si="18">C136+D136-E136+F136-G136+H136+J136-K136</f>
        <v>185900</v>
      </c>
      <c r="M136" s="28"/>
      <c r="N136" s="28">
        <f t="shared" si="15"/>
        <v>185900</v>
      </c>
      <c r="O136" s="38">
        <f>M136/$M$141</f>
        <v>0</v>
      </c>
    </row>
    <row r="137" spans="1:15" ht="15.95" customHeight="1" x14ac:dyDescent="0.2">
      <c r="A137" s="41" t="s">
        <v>223</v>
      </c>
      <c r="B137" s="29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28">
        <f t="shared" si="18"/>
        <v>7170</v>
      </c>
      <c r="M137" s="28"/>
      <c r="N137" s="28">
        <f t="shared" si="15"/>
        <v>7170</v>
      </c>
      <c r="O137" s="38">
        <f>M137/$M$141</f>
        <v>0</v>
      </c>
    </row>
    <row r="138" spans="1:15" ht="15.95" customHeight="1" x14ac:dyDescent="0.2">
      <c r="A138" s="41" t="s">
        <v>225</v>
      </c>
      <c r="B138" s="29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28">
        <f>C138+D138-E138+F138-G138+H138+J138-K138</f>
        <v>70000</v>
      </c>
      <c r="M138" s="28"/>
      <c r="N138" s="28">
        <f t="shared" si="15"/>
        <v>70000</v>
      </c>
      <c r="O138" s="38">
        <f>M138/$M$141</f>
        <v>0</v>
      </c>
    </row>
    <row r="139" spans="1:15" ht="33.75" customHeight="1" x14ac:dyDescent="0.2">
      <c r="A139" s="41">
        <v>453</v>
      </c>
      <c r="B139" s="100" t="s">
        <v>264</v>
      </c>
      <c r="C139" s="28">
        <v>0</v>
      </c>
      <c r="D139" s="28"/>
      <c r="E139" s="28"/>
      <c r="F139" s="28"/>
      <c r="G139" s="28"/>
      <c r="H139" s="28"/>
      <c r="I139" s="28"/>
      <c r="J139" s="44"/>
      <c r="K139" s="44"/>
      <c r="L139" s="28">
        <f>C139+D139-E139+F139-G139+H139+J139-K139</f>
        <v>0</v>
      </c>
      <c r="M139" s="28"/>
      <c r="N139" s="28">
        <f t="shared" si="15"/>
        <v>0</v>
      </c>
      <c r="O139" s="38"/>
    </row>
    <row r="140" spans="1:15" ht="31.5" customHeight="1" thickBo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28">
        <f t="shared" ref="L140" si="19">C140+D140-E140+F140-G140+H140+J140-K140</f>
        <v>8750</v>
      </c>
      <c r="M140" s="28"/>
      <c r="N140" s="28">
        <f t="shared" si="15"/>
        <v>8750</v>
      </c>
      <c r="O140" s="38">
        <f>M140/$M$141</f>
        <v>0</v>
      </c>
    </row>
    <row r="141" spans="1:15" ht="18" customHeight="1" thickBot="1" x14ac:dyDescent="0.3">
      <c r="A141" s="32"/>
      <c r="B141" s="33" t="s">
        <v>90</v>
      </c>
      <c r="C141" s="34">
        <f t="shared" ref="C141:N141" si="20">SUM(C31:C140)</f>
        <v>8258523.6200000001</v>
      </c>
      <c r="D141" s="34">
        <f t="shared" si="20"/>
        <v>0</v>
      </c>
      <c r="E141" s="34">
        <f t="shared" si="20"/>
        <v>0</v>
      </c>
      <c r="F141" s="34">
        <f t="shared" si="20"/>
        <v>0</v>
      </c>
      <c r="G141" s="34">
        <f t="shared" si="20"/>
        <v>0</v>
      </c>
      <c r="H141" s="34">
        <f t="shared" si="20"/>
        <v>0</v>
      </c>
      <c r="I141" s="34">
        <f t="shared" si="20"/>
        <v>0</v>
      </c>
      <c r="J141" s="64">
        <f t="shared" si="20"/>
        <v>0</v>
      </c>
      <c r="K141" s="64">
        <f t="shared" si="20"/>
        <v>0</v>
      </c>
      <c r="L141" s="34">
        <f>SUM(L31:L140)</f>
        <v>8258523.6200000001</v>
      </c>
      <c r="M141" s="34">
        <f>SUM(M31:M140)</f>
        <v>255547.38000000003</v>
      </c>
      <c r="N141" s="34">
        <f t="shared" si="20"/>
        <v>8002976.2400000012</v>
      </c>
      <c r="O141" s="45">
        <v>1</v>
      </c>
    </row>
    <row r="142" spans="1:15" x14ac:dyDescent="0.2">
      <c r="A142" s="46"/>
      <c r="B142" s="75"/>
      <c r="C142" s="77"/>
      <c r="D142" s="76"/>
      <c r="E142" s="47"/>
      <c r="F142" s="47"/>
      <c r="G142" s="47"/>
      <c r="H142" s="47"/>
      <c r="I142" s="47"/>
      <c r="J142" s="65"/>
      <c r="K142" s="65"/>
      <c r="L142" s="47"/>
      <c r="M142" s="47"/>
      <c r="N142" s="47"/>
    </row>
    <row r="143" spans="1:15" ht="15.75" thickBot="1" x14ac:dyDescent="0.25">
      <c r="E143" s="12"/>
      <c r="F143" s="4"/>
      <c r="L143" s="14"/>
      <c r="M143" s="4"/>
    </row>
    <row r="144" spans="1:15" ht="15.75" x14ac:dyDescent="0.25">
      <c r="A144" s="1" t="s">
        <v>83</v>
      </c>
      <c r="B144" s="2"/>
      <c r="C144" s="3"/>
      <c r="D144" s="4"/>
      <c r="E144" s="4"/>
      <c r="F144" s="4"/>
      <c r="G144" s="4"/>
      <c r="H144" s="4"/>
      <c r="I144" s="4"/>
      <c r="J144" s="66"/>
      <c r="K144" s="66"/>
      <c r="L144" s="4"/>
      <c r="M144" s="4"/>
    </row>
    <row r="145" spans="1:13" ht="15.75" x14ac:dyDescent="0.25">
      <c r="A145" s="5" t="s">
        <v>2</v>
      </c>
      <c r="B145" s="6"/>
      <c r="C145" s="7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5.0999999999999996" customHeight="1" thickBot="1" x14ac:dyDescent="0.25">
      <c r="A146" s="8"/>
      <c r="B146" s="9"/>
      <c r="C146" s="10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6.95" customHeight="1" x14ac:dyDescent="0.2">
      <c r="A147" s="48"/>
      <c r="B147" s="49"/>
      <c r="C147" s="5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x14ac:dyDescent="0.2">
      <c r="A148" s="51" t="s">
        <v>84</v>
      </c>
      <c r="B148" s="52"/>
      <c r="C148" s="53"/>
      <c r="D148" s="4"/>
      <c r="E148" s="4"/>
      <c r="F148" s="4"/>
      <c r="G148" s="4"/>
      <c r="H148" s="4"/>
      <c r="I148" s="4"/>
      <c r="J148" s="66"/>
      <c r="K148" s="66"/>
      <c r="L148" s="4"/>
    </row>
    <row r="149" spans="1:13" x14ac:dyDescent="0.2">
      <c r="A149" s="54" t="s">
        <v>257</v>
      </c>
      <c r="B149" s="52"/>
      <c r="C149" s="69">
        <v>1808838.07</v>
      </c>
      <c r="D149" s="47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258</v>
      </c>
      <c r="B150" s="52"/>
      <c r="C150" s="69">
        <v>-22528.77</v>
      </c>
      <c r="D150" s="47"/>
      <c r="E150" s="4"/>
      <c r="F150" s="4">
        <v>20695.27</v>
      </c>
      <c r="G150" s="4">
        <f>+C150+F150</f>
        <v>-1833.5</v>
      </c>
      <c r="H150" s="4">
        <f>SUM(C149:C153)</f>
        <v>3269942.64</v>
      </c>
      <c r="I150" s="4"/>
      <c r="J150" s="66"/>
      <c r="K150" s="66"/>
      <c r="L150" s="4"/>
    </row>
    <row r="151" spans="1:13" x14ac:dyDescent="0.2">
      <c r="A151" s="54" t="s">
        <v>249</v>
      </c>
      <c r="B151" s="52"/>
      <c r="C151" s="69"/>
      <c r="D151" s="47"/>
      <c r="E151" s="4"/>
      <c r="F151" s="4"/>
      <c r="G151" s="4"/>
      <c r="H151" s="4">
        <v>3291873.33</v>
      </c>
      <c r="I151" s="4">
        <f>+H150-H151</f>
        <v>-21930.689999999944</v>
      </c>
      <c r="J151" s="66"/>
      <c r="K151" s="66"/>
      <c r="L151" s="4"/>
    </row>
    <row r="152" spans="1:13" x14ac:dyDescent="0.2">
      <c r="A152" s="83" t="s">
        <v>239</v>
      </c>
      <c r="B152" s="52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259</v>
      </c>
      <c r="B153" s="52"/>
      <c r="C153" s="69">
        <f>1174639.32+309594.02-600</f>
        <v>1483633.34</v>
      </c>
      <c r="D153" s="47"/>
      <c r="E153" s="69">
        <f>664794.07+509845.25</f>
        <v>1174639.3199999998</v>
      </c>
      <c r="F153" s="4"/>
      <c r="G153" s="4"/>
      <c r="H153" s="4"/>
      <c r="I153" s="4"/>
      <c r="J153" s="66"/>
      <c r="K153" s="66"/>
      <c r="L153" s="4"/>
    </row>
    <row r="154" spans="1:13" x14ac:dyDescent="0.2">
      <c r="A154" s="54" t="s">
        <v>85</v>
      </c>
      <c r="B154" s="52"/>
      <c r="C154" s="69">
        <f>M26</f>
        <v>262037.52000000002</v>
      </c>
      <c r="D154" s="47"/>
      <c r="E154" s="4">
        <v>309594.02</v>
      </c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86</v>
      </c>
      <c r="B155" s="52"/>
      <c r="C155" s="70">
        <f>-M141</f>
        <v>-255547.38000000003</v>
      </c>
      <c r="D155" s="4"/>
      <c r="E155" s="4">
        <v>600</v>
      </c>
      <c r="F155" s="4">
        <f>SUM(E153:E155)</f>
        <v>1484833.3399999999</v>
      </c>
      <c r="G155" s="4">
        <f>-618-1180.08</f>
        <v>-1798.08</v>
      </c>
      <c r="H155" s="4"/>
      <c r="I155" s="4"/>
      <c r="J155" s="66"/>
      <c r="K155" s="66"/>
      <c r="L155" s="4"/>
    </row>
    <row r="156" spans="1:13" ht="15.75" x14ac:dyDescent="0.25">
      <c r="A156" s="55" t="s">
        <v>87</v>
      </c>
      <c r="B156" s="56"/>
      <c r="C156" s="71">
        <f>SUM(C149:C155)</f>
        <v>3276432.7800000003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/>
      <c r="B157" s="56"/>
      <c r="C157" s="71"/>
      <c r="D157" s="4"/>
      <c r="E157" s="4"/>
      <c r="F157" s="4">
        <v>260547.84</v>
      </c>
      <c r="G157" s="4"/>
      <c r="H157" s="4"/>
      <c r="I157" s="4"/>
      <c r="J157" s="66"/>
      <c r="K157" s="66"/>
      <c r="L157" s="4"/>
    </row>
    <row r="158" spans="1:13" x14ac:dyDescent="0.2">
      <c r="A158" s="51" t="s">
        <v>88</v>
      </c>
      <c r="B158" s="52"/>
      <c r="C158" s="69"/>
      <c r="D158" s="4"/>
      <c r="E158" s="4"/>
      <c r="F158" s="4">
        <v>2274050.3800000004</v>
      </c>
      <c r="G158" s="4">
        <f>SUM(F157:F158)</f>
        <v>2534598.2200000002</v>
      </c>
      <c r="H158" s="4"/>
      <c r="I158" s="4"/>
      <c r="J158" s="66"/>
      <c r="K158" s="66"/>
      <c r="L158" s="4"/>
    </row>
    <row r="159" spans="1:13" ht="12" customHeight="1" x14ac:dyDescent="0.2">
      <c r="A159" s="54" t="s">
        <v>147</v>
      </c>
      <c r="B159" s="52"/>
      <c r="C159" s="69">
        <v>276.89999999999998</v>
      </c>
      <c r="D159" s="4"/>
      <c r="E159" s="4"/>
      <c r="F159" s="4"/>
      <c r="G159" s="69">
        <f>1174639.32+309594.02-600</f>
        <v>1483633.34</v>
      </c>
      <c r="H159" s="4"/>
      <c r="I159" s="4"/>
      <c r="J159" s="66"/>
      <c r="K159" s="66"/>
      <c r="L159" s="4"/>
    </row>
    <row r="160" spans="1:13" ht="12" customHeight="1" x14ac:dyDescent="0.2">
      <c r="A160" s="54" t="s">
        <v>241</v>
      </c>
      <c r="B160" s="52"/>
      <c r="C160" s="69">
        <v>825</v>
      </c>
      <c r="D160" s="4"/>
      <c r="E160" s="4"/>
      <c r="F160" s="4"/>
      <c r="G160" s="4">
        <f>SUM(G158:G159)</f>
        <v>4018231.5600000005</v>
      </c>
      <c r="H160" s="4"/>
      <c r="I160" s="4"/>
      <c r="J160" s="66"/>
      <c r="K160" s="66"/>
      <c r="L160" s="4"/>
    </row>
    <row r="161" spans="1:13" ht="12" customHeight="1" x14ac:dyDescent="0.2">
      <c r="A161" s="54" t="s">
        <v>248</v>
      </c>
      <c r="B161" s="52"/>
      <c r="C161" s="69">
        <v>10105.370000000001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x14ac:dyDescent="0.2">
      <c r="A162" s="54" t="s">
        <v>150</v>
      </c>
      <c r="B162" s="52"/>
      <c r="C162" s="69">
        <f>9897.17+28.04</f>
        <v>9925.2100000000009</v>
      </c>
      <c r="D162" s="79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149</v>
      </c>
      <c r="B163" s="52"/>
      <c r="C163" s="69">
        <v>1734.25</v>
      </c>
      <c r="D163" s="80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148</v>
      </c>
      <c r="B164" s="52"/>
      <c r="C164" s="69">
        <v>4700.01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253</v>
      </c>
      <c r="B165" s="52"/>
      <c r="C165" s="69">
        <f>191.14+163.24</f>
        <v>354.38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/>
      <c r="B166" s="52"/>
      <c r="C166" s="69"/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52"/>
      <c r="C167" s="70"/>
      <c r="D167" s="81"/>
      <c r="E167" s="82"/>
      <c r="F167" s="4"/>
      <c r="G167" s="4"/>
      <c r="H167" s="4"/>
      <c r="I167" s="4"/>
      <c r="J167" s="66"/>
      <c r="K167" s="66"/>
      <c r="L167" s="4"/>
    </row>
    <row r="168" spans="1:13" ht="15.75" x14ac:dyDescent="0.25">
      <c r="A168" s="55"/>
      <c r="B168" s="56"/>
      <c r="C168" s="71">
        <f>SUM(C159:C167)</f>
        <v>27921.120000000006</v>
      </c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2.1" customHeight="1" x14ac:dyDescent="0.25">
      <c r="A169" s="55"/>
      <c r="B169" s="56"/>
      <c r="C169" s="72"/>
      <c r="D169" s="80"/>
      <c r="E169" s="4"/>
      <c r="F169" s="4"/>
      <c r="G169" s="4"/>
      <c r="H169" s="4"/>
      <c r="I169" s="4"/>
      <c r="J169" s="66"/>
      <c r="K169" s="66"/>
      <c r="L169" s="4"/>
    </row>
    <row r="170" spans="1:13" x14ac:dyDescent="0.2">
      <c r="A170" s="54"/>
      <c r="B170" s="52"/>
      <c r="C170" s="69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ht="2.1" customHeight="1" thickBot="1" x14ac:dyDescent="0.3">
      <c r="A171" s="57" t="s">
        <v>238</v>
      </c>
      <c r="B171" s="58"/>
      <c r="C171" s="68">
        <f>C156+C168</f>
        <v>3304353.9000000004</v>
      </c>
      <c r="D171" s="79"/>
      <c r="E171" s="4"/>
      <c r="F171" s="4"/>
      <c r="G171" s="4"/>
      <c r="H171" s="4"/>
      <c r="I171" s="4"/>
      <c r="J171" s="66"/>
      <c r="K171" s="66"/>
      <c r="L171" s="4"/>
    </row>
    <row r="172" spans="1:13" ht="9.9499999999999993" customHeight="1" x14ac:dyDescent="0.2">
      <c r="A172" s="54"/>
      <c r="B172" s="52"/>
      <c r="C172" s="69"/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16.5" thickBot="1" x14ac:dyDescent="0.3">
      <c r="A173" s="57" t="s">
        <v>256</v>
      </c>
      <c r="B173" s="58"/>
      <c r="C173" s="68">
        <f>C156+C168</f>
        <v>3304353.9000000004</v>
      </c>
      <c r="D173" s="81"/>
      <c r="E173" s="4"/>
      <c r="F173" s="4"/>
      <c r="G173" s="4"/>
      <c r="H173" s="4"/>
      <c r="I173" s="4"/>
      <c r="J173" s="66"/>
      <c r="K173" s="66"/>
      <c r="L173" s="4"/>
      <c r="M173" s="4"/>
    </row>
    <row r="174" spans="1:13" x14ac:dyDescent="0.2">
      <c r="A174" s="52"/>
      <c r="B174" s="86"/>
      <c r="C174" s="4"/>
      <c r="D174" s="4"/>
      <c r="E174" s="4"/>
      <c r="F174" s="4"/>
      <c r="G174" s="4"/>
      <c r="H174" s="4"/>
      <c r="I174" s="4"/>
      <c r="J174" s="66"/>
      <c r="K174" s="66"/>
      <c r="L174" s="4"/>
    </row>
    <row r="175" spans="1:13" x14ac:dyDescent="0.2">
      <c r="B175" s="86"/>
      <c r="C175" s="4"/>
      <c r="D175" s="4"/>
      <c r="E175" s="4"/>
    </row>
    <row r="176" spans="1:13" x14ac:dyDescent="0.2">
      <c r="C176" s="13"/>
      <c r="D176" s="4"/>
    </row>
    <row r="177" spans="2:12" x14ac:dyDescent="0.2">
      <c r="C177" s="13"/>
      <c r="D177" s="4"/>
    </row>
    <row r="178" spans="2:12" x14ac:dyDescent="0.2">
      <c r="C178" s="14"/>
      <c r="D178" s="4"/>
      <c r="I178" s="4"/>
      <c r="K178" s="66"/>
      <c r="L178" s="4"/>
    </row>
    <row r="179" spans="2:12" x14ac:dyDescent="0.2">
      <c r="C179" s="14"/>
      <c r="D179" s="4"/>
    </row>
    <row r="180" spans="2:12" x14ac:dyDescent="0.2">
      <c r="C180" s="14"/>
      <c r="D180" s="4"/>
    </row>
    <row r="181" spans="2:12" x14ac:dyDescent="0.2">
      <c r="C181" s="14"/>
      <c r="D181" s="4"/>
    </row>
    <row r="182" spans="2:12" x14ac:dyDescent="0.2">
      <c r="C182" s="14"/>
      <c r="D182" s="4"/>
    </row>
    <row r="183" spans="2:12" x14ac:dyDescent="0.2">
      <c r="D183" s="4"/>
    </row>
    <row r="184" spans="2:12" x14ac:dyDescent="0.2">
      <c r="D184" s="4"/>
    </row>
    <row r="185" spans="2:12" x14ac:dyDescent="0.2">
      <c r="B185" s="84" t="s">
        <v>254</v>
      </c>
      <c r="C185" s="85" t="s">
        <v>255</v>
      </c>
      <c r="E185" s="85"/>
      <c r="G185" s="84" t="s">
        <v>260</v>
      </c>
      <c r="J185" s="85" t="s">
        <v>252</v>
      </c>
      <c r="K185" s="74"/>
    </row>
    <row r="186" spans="2:12" x14ac:dyDescent="0.2">
      <c r="B186" s="84" t="s">
        <v>89</v>
      </c>
      <c r="C186" s="85" t="s">
        <v>261</v>
      </c>
      <c r="E186" s="85"/>
      <c r="G186" s="84" t="s">
        <v>247</v>
      </c>
      <c r="J186" s="84" t="s">
        <v>242</v>
      </c>
    </row>
    <row r="190" spans="2:12" x14ac:dyDescent="0.2">
      <c r="I190" s="4"/>
      <c r="K190" s="66"/>
      <c r="L190" s="4"/>
    </row>
    <row r="191" spans="2:12" x14ac:dyDescent="0.2">
      <c r="I191" s="4"/>
      <c r="K191" s="66"/>
      <c r="L191" s="4"/>
    </row>
    <row r="192" spans="2:12" x14ac:dyDescent="0.2">
      <c r="G192" s="59"/>
      <c r="I192" s="59"/>
      <c r="K192" s="67"/>
      <c r="L192" s="4"/>
    </row>
    <row r="193" spans="7:12" x14ac:dyDescent="0.2">
      <c r="G193" s="59"/>
      <c r="I193" s="59"/>
      <c r="K193" s="67"/>
      <c r="L193" s="4"/>
    </row>
    <row r="194" spans="7:12" x14ac:dyDescent="0.2">
      <c r="G194" s="59"/>
      <c r="L194" s="4"/>
    </row>
    <row r="195" spans="7:12" x14ac:dyDescent="0.2">
      <c r="G195" s="59"/>
    </row>
    <row r="196" spans="7:12" x14ac:dyDescent="0.2">
      <c r="G196" s="59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5" orientation="landscape" horizontalDpi="360" verticalDpi="360" r:id="rId1"/>
  <rowBreaks count="2" manualBreakCount="2">
    <brk id="56" max="16383" man="1"/>
    <brk id="121" max="16383" man="1"/>
  </rowBreaks>
  <ignoredErrors>
    <ignoredError sqref="L112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6BBC6-E7DD-4894-A162-42F8A5361F6C}">
  <sheetPr>
    <pageSetUpPr fitToPage="1"/>
  </sheetPr>
  <dimension ref="A1:W214"/>
  <sheetViews>
    <sheetView zoomScaleNormal="100" workbookViewId="0">
      <pane xSplit="2" ySplit="7" topLeftCell="C158" activePane="bottomRight" state="frozen"/>
      <selection pane="topRight" activeCell="C1" sqref="C1"/>
      <selection pane="bottomLeft" activeCell="A8" sqref="A8"/>
      <selection pane="bottomRight" activeCell="F171" sqref="F171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hidden="1" customWidth="1"/>
    <col min="5" max="5" width="15.28515625" style="11" hidden="1" customWidth="1"/>
    <col min="6" max="6" width="22.85546875" style="11" customWidth="1"/>
    <col min="7" max="7" width="14.5703125" style="11" customWidth="1"/>
    <col min="8" max="8" width="16.42578125" style="11" customWidth="1"/>
    <col min="9" max="9" width="14.140625" style="11" customWidth="1"/>
    <col min="10" max="10" width="13.140625" style="52" customWidth="1"/>
    <col min="11" max="11" width="14.7109375" style="52" customWidth="1"/>
    <col min="12" max="12" width="13.42578125" style="52" customWidth="1"/>
    <col min="13" max="15" width="14.42578125" style="52" customWidth="1"/>
    <col min="16" max="18" width="16.42578125" style="11" customWidth="1"/>
    <col min="19" max="19" width="10.7109375" style="11" customWidth="1"/>
    <col min="20" max="20" width="11.42578125" style="11" customWidth="1"/>
    <col min="21" max="21" width="16.7109375" style="52" customWidth="1"/>
    <col min="22" max="22" width="13.42578125" style="52" customWidth="1"/>
    <col min="23" max="23" width="14.140625" style="11" bestFit="1" customWidth="1"/>
    <col min="24" max="16384" width="11.42578125" style="11"/>
  </cols>
  <sheetData>
    <row r="1" spans="1:22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0"/>
      <c r="M1" s="60"/>
      <c r="N1" s="60"/>
      <c r="O1" s="60"/>
      <c r="P1" s="6"/>
      <c r="Q1" s="6"/>
      <c r="R1" s="6"/>
      <c r="S1" s="15"/>
      <c r="U1" s="60"/>
      <c r="V1" s="60"/>
    </row>
    <row r="2" spans="1:22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0"/>
      <c r="M2" s="60"/>
      <c r="N2" s="60"/>
      <c r="O2" s="60"/>
      <c r="P2" s="6"/>
      <c r="Q2" s="6"/>
      <c r="R2" s="6"/>
      <c r="S2" s="15"/>
      <c r="U2" s="60"/>
      <c r="V2" s="60"/>
    </row>
    <row r="3" spans="1:22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0"/>
      <c r="M3" s="60"/>
      <c r="N3" s="60"/>
      <c r="O3" s="60"/>
      <c r="P3" s="6"/>
      <c r="Q3" s="6"/>
      <c r="R3" s="6"/>
      <c r="S3" s="15"/>
      <c r="U3" s="60"/>
      <c r="V3" s="60"/>
    </row>
    <row r="4" spans="1:22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0"/>
      <c r="M4" s="60"/>
      <c r="N4" s="60"/>
      <c r="O4" s="60"/>
      <c r="P4" s="6"/>
      <c r="Q4" s="6"/>
      <c r="R4" s="6"/>
      <c r="S4" s="15"/>
      <c r="U4" s="60"/>
      <c r="V4" s="60"/>
    </row>
    <row r="5" spans="1:22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56"/>
      <c r="M5" s="56"/>
      <c r="N5" s="56"/>
      <c r="O5" s="56"/>
      <c r="P5" s="15"/>
      <c r="Q5" s="15"/>
      <c r="R5" s="15"/>
      <c r="S5" s="15"/>
      <c r="U5" s="56"/>
      <c r="V5" s="56"/>
    </row>
    <row r="6" spans="1:22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34" t="s">
        <v>237</v>
      </c>
      <c r="M6" s="135"/>
      <c r="N6" s="134" t="s">
        <v>276</v>
      </c>
      <c r="O6" s="135"/>
      <c r="P6" s="16" t="s">
        <v>5</v>
      </c>
      <c r="Q6" s="130" t="s">
        <v>240</v>
      </c>
      <c r="R6" s="16" t="s">
        <v>8</v>
      </c>
      <c r="S6" s="16" t="s">
        <v>9</v>
      </c>
    </row>
    <row r="7" spans="1:22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61" t="s">
        <v>12</v>
      </c>
      <c r="M7" s="73" t="s">
        <v>13</v>
      </c>
      <c r="N7" s="61" t="s">
        <v>12</v>
      </c>
      <c r="O7" s="73" t="s">
        <v>13</v>
      </c>
      <c r="P7" s="19" t="s">
        <v>14</v>
      </c>
      <c r="Q7" s="131"/>
      <c r="R7" s="19" t="s">
        <v>15</v>
      </c>
      <c r="S7" s="19" t="s">
        <v>16</v>
      </c>
    </row>
    <row r="8" spans="1:22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62"/>
      <c r="M8" s="62"/>
      <c r="N8" s="62"/>
      <c r="O8" s="62"/>
      <c r="P8" s="23"/>
      <c r="Q8" s="23"/>
      <c r="R8" s="23"/>
      <c r="S8" s="24"/>
    </row>
    <row r="9" spans="1:22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44"/>
      <c r="M9" s="44"/>
      <c r="N9" s="44"/>
      <c r="O9" s="44"/>
      <c r="P9" s="28"/>
      <c r="Q9" s="28"/>
      <c r="R9" s="28"/>
      <c r="S9" s="27"/>
    </row>
    <row r="10" spans="1:22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44"/>
      <c r="M10" s="44"/>
      <c r="N10" s="44"/>
      <c r="O10" s="44"/>
      <c r="P10" s="28">
        <f>C10+D10-E10+F10-G10+H10-I10+J10-K10+L10-M10+N10-O10</f>
        <v>37000</v>
      </c>
      <c r="Q10" s="28">
        <f>+'[1]ING OCTUBRE 2024'!$Q$9</f>
        <v>35271</v>
      </c>
      <c r="R10" s="28">
        <f t="shared" ref="R10:R22" si="0">P10-Q10</f>
        <v>1729</v>
      </c>
      <c r="S10" s="88">
        <f>Q10/$Q$26</f>
        <v>5.1247286911224547E-3</v>
      </c>
    </row>
    <row r="11" spans="1:22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44"/>
      <c r="M11" s="44"/>
      <c r="N11" s="44"/>
      <c r="O11" s="44"/>
      <c r="P11" s="28">
        <f>C11+D11-E11+F11-G11+J11-K11</f>
        <v>0</v>
      </c>
      <c r="Q11" s="28"/>
      <c r="R11" s="28">
        <v>0</v>
      </c>
      <c r="S11" s="88"/>
    </row>
    <row r="12" spans="1:22" ht="15.9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44"/>
      <c r="M12" s="44"/>
      <c r="N12" s="44"/>
      <c r="O12" s="44"/>
      <c r="P12" s="28">
        <f t="shared" ref="P12:P25" si="1">C12+D12-E12+F12-G12+H12-I12+J12-K12+L12-M12+N12-O12</f>
        <v>30500</v>
      </c>
      <c r="Q12" s="28">
        <f>+'[1]ING OCTUBRE 2024'!$Q$11</f>
        <v>35860.410000000003</v>
      </c>
      <c r="R12" s="121">
        <f t="shared" si="0"/>
        <v>-5360.4100000000035</v>
      </c>
      <c r="S12" s="88">
        <f>Q12/$Q$26</f>
        <v>5.2103674974459079E-3</v>
      </c>
    </row>
    <row r="13" spans="1:22" ht="15.9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44"/>
      <c r="M13" s="44"/>
      <c r="N13" s="44"/>
      <c r="O13" s="44"/>
      <c r="P13" s="28">
        <f t="shared" si="1"/>
        <v>3500</v>
      </c>
      <c r="Q13" s="28"/>
      <c r="R13" s="28">
        <f t="shared" si="0"/>
        <v>3500</v>
      </c>
      <c r="S13" s="88">
        <f>Q13/$Q$26</f>
        <v>0</v>
      </c>
    </row>
    <row r="14" spans="1:22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44"/>
      <c r="M14" s="44"/>
      <c r="N14" s="44"/>
      <c r="O14" s="44"/>
      <c r="P14" s="28">
        <f t="shared" si="1"/>
        <v>0</v>
      </c>
      <c r="Q14" s="28"/>
      <c r="R14" s="28"/>
      <c r="S14" s="88"/>
    </row>
    <row r="15" spans="1:22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44">
        <v>30000</v>
      </c>
      <c r="M15" s="44"/>
      <c r="N15" s="44"/>
      <c r="O15" s="44"/>
      <c r="P15" s="28">
        <f t="shared" si="1"/>
        <v>38800</v>
      </c>
      <c r="Q15" s="28">
        <f>+'[1]ING OCTUBRE 2024'!$Q$17</f>
        <v>41423.22</v>
      </c>
      <c r="R15" s="121">
        <f t="shared" si="0"/>
        <v>-2623.2200000000012</v>
      </c>
      <c r="S15" s="88">
        <f>Q15/$Q$26</f>
        <v>6.018620510126662E-3</v>
      </c>
    </row>
    <row r="16" spans="1:22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44"/>
      <c r="M16" s="44"/>
      <c r="N16" s="44"/>
      <c r="O16" s="44"/>
      <c r="P16" s="28">
        <f t="shared" si="1"/>
        <v>0</v>
      </c>
      <c r="Q16" s="28"/>
      <c r="R16" s="28"/>
      <c r="S16" s="88"/>
    </row>
    <row r="17" spans="1:23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44"/>
      <c r="M17" s="44"/>
      <c r="N17" s="44"/>
      <c r="O17" s="44"/>
      <c r="P17" s="28">
        <f t="shared" si="1"/>
        <v>0</v>
      </c>
      <c r="Q17" s="28"/>
      <c r="R17" s="28"/>
      <c r="S17" s="88"/>
    </row>
    <row r="18" spans="1:23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44">
        <v>-30000</v>
      </c>
      <c r="M18" s="44"/>
      <c r="N18" s="44"/>
      <c r="O18" s="44"/>
      <c r="P18" s="28">
        <f t="shared" si="1"/>
        <v>3938096.55</v>
      </c>
      <c r="Q18" s="28">
        <f>+'[1]ING OCTUBRE 2024'!$Q$23</f>
        <v>3340419.84</v>
      </c>
      <c r="R18" s="28">
        <f t="shared" si="0"/>
        <v>597676.71</v>
      </c>
      <c r="S18" s="88">
        <f>Q18/$Q$26</f>
        <v>0.48534902311935241</v>
      </c>
    </row>
    <row r="19" spans="1:23" ht="15.95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44"/>
      <c r="M19" s="44"/>
      <c r="N19" s="44">
        <v>276759.92</v>
      </c>
      <c r="O19" s="44"/>
      <c r="P19" s="28">
        <f t="shared" si="1"/>
        <v>276759.92</v>
      </c>
      <c r="Q19" s="28">
        <f>+'[1]ING OCTUBRE 2024'!$Q$24</f>
        <v>0</v>
      </c>
      <c r="R19" s="28">
        <f t="shared" si="0"/>
        <v>276759.92</v>
      </c>
      <c r="S19" s="88">
        <f>Q19/$Q$26</f>
        <v>0</v>
      </c>
    </row>
    <row r="20" spans="1:23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44"/>
      <c r="M20" s="44"/>
      <c r="N20" s="63">
        <v>582877.05000000005</v>
      </c>
      <c r="O20" s="44"/>
      <c r="P20" s="28">
        <f t="shared" si="1"/>
        <v>4844402.6100000003</v>
      </c>
      <c r="Q20" s="28">
        <f>+'[1]ING OCTUBRE 2024'!$Q$25</f>
        <v>3429536.22</v>
      </c>
      <c r="R20" s="28">
        <f t="shared" si="0"/>
        <v>1414866.3900000001</v>
      </c>
      <c r="S20" s="88">
        <f>Q20/$Q$26</f>
        <v>0.49829726018195264</v>
      </c>
    </row>
    <row r="21" spans="1:23" ht="15.95" customHeight="1" x14ac:dyDescent="0.25">
      <c r="A21" s="29" t="s">
        <v>25</v>
      </c>
      <c r="B21" s="100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44"/>
      <c r="M21" s="44"/>
      <c r="N21" s="44"/>
      <c r="O21" s="44"/>
      <c r="P21" s="28">
        <f t="shared" si="1"/>
        <v>20000</v>
      </c>
      <c r="Q21" s="28"/>
      <c r="R21" s="28">
        <f t="shared" si="0"/>
        <v>20000</v>
      </c>
      <c r="S21" s="88">
        <f>Q21/$Q$26</f>
        <v>0</v>
      </c>
    </row>
    <row r="22" spans="1:23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63"/>
      <c r="M22" s="63"/>
      <c r="N22" s="63"/>
      <c r="O22" s="63"/>
      <c r="P22" s="28">
        <f t="shared" si="1"/>
        <v>50000</v>
      </c>
      <c r="Q22" s="28"/>
      <c r="R22" s="28">
        <f t="shared" si="0"/>
        <v>50000</v>
      </c>
      <c r="S22" s="88">
        <f>Q22/$Q$26</f>
        <v>0</v>
      </c>
    </row>
    <row r="23" spans="1:23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44"/>
      <c r="M23" s="44"/>
      <c r="N23" s="44"/>
      <c r="O23" s="44"/>
      <c r="P23" s="28">
        <f t="shared" si="1"/>
        <v>0</v>
      </c>
      <c r="Q23" s="28"/>
      <c r="R23" s="26"/>
      <c r="S23" s="88"/>
    </row>
    <row r="24" spans="1:23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44"/>
      <c r="M24" s="44"/>
      <c r="N24" s="44"/>
      <c r="O24" s="44"/>
      <c r="P24" s="28">
        <f t="shared" si="1"/>
        <v>260547.84</v>
      </c>
      <c r="Q24" s="28"/>
      <c r="R24" s="28">
        <f>P24-Q24</f>
        <v>260547.84</v>
      </c>
      <c r="S24" s="88">
        <f>Q24/$Q$26</f>
        <v>0</v>
      </c>
    </row>
    <row r="25" spans="1:23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44"/>
      <c r="M25" s="44"/>
      <c r="N25" s="44"/>
      <c r="O25" s="44"/>
      <c r="P25" s="28">
        <f t="shared" si="1"/>
        <v>2274050.3800000004</v>
      </c>
      <c r="Q25" s="28"/>
      <c r="R25" s="28">
        <f>P25-Q25</f>
        <v>2274050.3800000004</v>
      </c>
      <c r="S25" s="88">
        <f>Q25/$Q$26</f>
        <v>0</v>
      </c>
    </row>
    <row r="26" spans="1:23" ht="18" customHeight="1" thickBot="1" x14ac:dyDescent="0.3">
      <c r="A26" s="32"/>
      <c r="B26" s="106" t="s">
        <v>32</v>
      </c>
      <c r="C26" s="34">
        <f t="shared" ref="C26:P26" si="2">SUM(C9:C25)</f>
        <v>8258523.620000001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ref="L26:O26" si="3">SUM(L9:L25)</f>
        <v>0</v>
      </c>
      <c r="M26" s="34">
        <f t="shared" si="3"/>
        <v>0</v>
      </c>
      <c r="N26" s="34">
        <f t="shared" si="3"/>
        <v>859636.97</v>
      </c>
      <c r="O26" s="34">
        <f t="shared" si="3"/>
        <v>0</v>
      </c>
      <c r="P26" s="34">
        <f t="shared" si="2"/>
        <v>11773657.300000001</v>
      </c>
      <c r="Q26" s="34">
        <f>SUM(Q10:Q25)</f>
        <v>6882510.6899999995</v>
      </c>
      <c r="R26" s="34">
        <f>SUM(R9:R25)</f>
        <v>4891146.6100000003</v>
      </c>
      <c r="S26" s="27"/>
    </row>
    <row r="27" spans="1:23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62"/>
      <c r="M27" s="62"/>
      <c r="N27" s="62"/>
      <c r="O27" s="62"/>
      <c r="P27" s="36"/>
      <c r="Q27" s="36"/>
      <c r="R27" s="36"/>
      <c r="S27" s="37"/>
      <c r="W27" s="14"/>
    </row>
    <row r="28" spans="1:23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44"/>
      <c r="M28" s="44"/>
      <c r="N28" s="44"/>
      <c r="O28" s="44"/>
      <c r="P28" s="28"/>
      <c r="Q28" s="28"/>
      <c r="R28" s="28"/>
      <c r="S28" s="38"/>
    </row>
    <row r="29" spans="1:23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44"/>
      <c r="M29" s="44"/>
      <c r="N29" s="44"/>
      <c r="O29" s="44"/>
      <c r="P29" s="28"/>
      <c r="Q29" s="28"/>
      <c r="R29" s="28"/>
      <c r="S29" s="38"/>
    </row>
    <row r="30" spans="1:23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44"/>
      <c r="M30" s="44"/>
      <c r="N30" s="44"/>
      <c r="O30" s="44"/>
      <c r="P30" s="28"/>
      <c r="Q30" s="28"/>
      <c r="R30" s="28"/>
      <c r="S30" s="38"/>
    </row>
    <row r="31" spans="1:23" ht="15.95" customHeight="1" x14ac:dyDescent="0.25">
      <c r="A31" s="94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44"/>
      <c r="M31" s="44"/>
      <c r="N31" s="44"/>
      <c r="O31" s="44"/>
      <c r="P31" s="28">
        <f>+C31+D31-E31+F31-G31+H31-I31+J31-K31+L31-M31+N31-O31</f>
        <v>846201.45000000007</v>
      </c>
      <c r="Q31" s="28">
        <f>+'[1]EGR OCTUBRE 2024'!$Q$7</f>
        <v>672092.36999999988</v>
      </c>
      <c r="R31" s="28">
        <f t="shared" ref="R31:R100" si="4">P31-Q31</f>
        <v>174109.08000000019</v>
      </c>
      <c r="S31" s="88">
        <f>Q31/$Q$144</f>
        <v>0.10078562060995734</v>
      </c>
    </row>
    <row r="32" spans="1:23" ht="30.75" customHeight="1" x14ac:dyDescent="0.25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44"/>
      <c r="M32" s="44"/>
      <c r="N32" s="44"/>
      <c r="O32" s="44"/>
      <c r="P32" s="28">
        <f t="shared" ref="P32:P95" si="5">+C32+D32-E32+F32-G32+H32-I32+J32-K32+L32-M32+N32-O32</f>
        <v>13700</v>
      </c>
      <c r="Q32" s="28">
        <f>+'[1]EGR OCTUBRE 2024'!$Q$8</f>
        <v>6937.5</v>
      </c>
      <c r="R32" s="28">
        <f t="shared" si="4"/>
        <v>6762.5</v>
      </c>
      <c r="S32" s="88">
        <f>Q32/$Q$144</f>
        <v>1.0403335526358961E-3</v>
      </c>
    </row>
    <row r="33" spans="1:19" ht="31.5" customHeight="1" x14ac:dyDescent="0.25">
      <c r="A33" s="94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44"/>
      <c r="M33" s="44"/>
      <c r="N33" s="44">
        <v>11000</v>
      </c>
      <c r="O33" s="44"/>
      <c r="P33" s="28">
        <f t="shared" si="5"/>
        <v>322100</v>
      </c>
      <c r="Q33" s="28">
        <f>+'[1]EGR OCTUBRE 2024'!$Q$9</f>
        <v>220957.37000000002</v>
      </c>
      <c r="R33" s="28">
        <f t="shared" si="4"/>
        <v>101142.62999999998</v>
      </c>
      <c r="S33" s="88">
        <f>Q33/$Q$144</f>
        <v>3.3134322985684209E-2</v>
      </c>
    </row>
    <row r="34" spans="1:19" ht="15.95" customHeight="1" x14ac:dyDescent="0.3">
      <c r="A34" s="41" t="s">
        <v>250</v>
      </c>
      <c r="B34" s="120" t="s">
        <v>282</v>
      </c>
      <c r="C34" s="28"/>
      <c r="D34" s="28"/>
      <c r="E34" s="28"/>
      <c r="F34" s="44"/>
      <c r="G34" s="44"/>
      <c r="H34" s="28"/>
      <c r="I34" s="28"/>
      <c r="J34" s="44"/>
      <c r="K34" s="44"/>
      <c r="L34" s="44"/>
      <c r="M34" s="44"/>
      <c r="N34" s="44"/>
      <c r="O34" s="44"/>
      <c r="P34" s="28">
        <f t="shared" si="5"/>
        <v>0</v>
      </c>
      <c r="Q34" s="28"/>
      <c r="R34" s="28">
        <f t="shared" si="4"/>
        <v>0</v>
      </c>
      <c r="S34" s="88"/>
    </row>
    <row r="35" spans="1:19" ht="15.95" customHeight="1" x14ac:dyDescent="0.25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44"/>
      <c r="M35" s="44"/>
      <c r="N35" s="44"/>
      <c r="O35" s="44"/>
      <c r="P35" s="28">
        <f t="shared" si="5"/>
        <v>15400</v>
      </c>
      <c r="Q35" s="28"/>
      <c r="R35" s="28">
        <f t="shared" si="4"/>
        <v>15400</v>
      </c>
      <c r="S35" s="88">
        <f t="shared" ref="S35:S42" si="6">Q35/$Q$144</f>
        <v>0</v>
      </c>
    </row>
    <row r="36" spans="1:19" ht="15.95" customHeight="1" x14ac:dyDescent="0.25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44"/>
      <c r="M36" s="44"/>
      <c r="N36" s="44"/>
      <c r="O36" s="44"/>
      <c r="P36" s="28">
        <f t="shared" si="5"/>
        <v>32500</v>
      </c>
      <c r="Q36" s="28">
        <f>+'[1]EGR OCTUBRE 2024'!$Q$12</f>
        <v>20340</v>
      </c>
      <c r="R36" s="28">
        <f t="shared" si="4"/>
        <v>12160</v>
      </c>
      <c r="S36" s="88">
        <f t="shared" si="6"/>
        <v>3.0501455078362706E-3</v>
      </c>
    </row>
    <row r="37" spans="1:19" ht="15.95" customHeight="1" x14ac:dyDescent="0.25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44"/>
      <c r="M37" s="44"/>
      <c r="N37" s="44"/>
      <c r="O37" s="44"/>
      <c r="P37" s="28">
        <f t="shared" si="5"/>
        <v>34510.800000000003</v>
      </c>
      <c r="Q37" s="28">
        <f>+'[1]EGR OCTUBRE 2024'!$Q$13</f>
        <v>13002.6</v>
      </c>
      <c r="R37" s="28">
        <f t="shared" si="4"/>
        <v>21508.200000000004</v>
      </c>
      <c r="S37" s="88">
        <f t="shared" si="6"/>
        <v>1.9498437551716762E-3</v>
      </c>
    </row>
    <row r="38" spans="1:19" ht="15.95" customHeight="1" x14ac:dyDescent="0.25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44"/>
      <c r="M38" s="44"/>
      <c r="N38" s="44"/>
      <c r="O38" s="44"/>
      <c r="P38" s="28">
        <f t="shared" si="5"/>
        <v>115401.15</v>
      </c>
      <c r="Q38" s="28">
        <f>+'[1]EGR OCTUBRE 2024'!$Q$14</f>
        <v>73115.830000000016</v>
      </c>
      <c r="R38" s="28">
        <f t="shared" si="4"/>
        <v>42285.319999999978</v>
      </c>
      <c r="S38" s="88">
        <f t="shared" si="6"/>
        <v>1.0964302872478883E-2</v>
      </c>
    </row>
    <row r="39" spans="1:19" ht="15.95" customHeight="1" x14ac:dyDescent="0.25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44"/>
      <c r="M39" s="44"/>
      <c r="N39" s="44"/>
      <c r="O39" s="44"/>
      <c r="P39" s="28">
        <f t="shared" si="5"/>
        <v>15190.84</v>
      </c>
      <c r="Q39" s="28">
        <f>+'[1]EGR OCTUBRE 2024'!$Q$15</f>
        <v>6850.9500000000007</v>
      </c>
      <c r="R39" s="28">
        <f t="shared" si="4"/>
        <v>8339.89</v>
      </c>
      <c r="S39" s="88">
        <f t="shared" si="6"/>
        <v>1.0273546886386874E-3</v>
      </c>
    </row>
    <row r="40" spans="1:19" ht="15.95" customHeight="1" x14ac:dyDescent="0.25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44"/>
      <c r="M40" s="44"/>
      <c r="N40" s="44"/>
      <c r="O40" s="44"/>
      <c r="P40" s="28">
        <f t="shared" si="5"/>
        <v>75581.009999999995</v>
      </c>
      <c r="Q40" s="28">
        <f>+'[1]EGR OCTUBRE 2024'!$Q$16</f>
        <v>6376.03</v>
      </c>
      <c r="R40" s="28">
        <f t="shared" si="4"/>
        <v>69204.98</v>
      </c>
      <c r="S40" s="88">
        <f t="shared" si="6"/>
        <v>9.5613664023251209E-4</v>
      </c>
    </row>
    <row r="41" spans="1:19" ht="15.95" customHeight="1" x14ac:dyDescent="0.25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44"/>
      <c r="M41" s="44"/>
      <c r="N41" s="44"/>
      <c r="O41" s="44"/>
      <c r="P41" s="28">
        <f t="shared" si="5"/>
        <v>75581.009999999995</v>
      </c>
      <c r="Q41" s="28">
        <f>+'[1]EGR OCTUBRE 2024'!$Q$17</f>
        <v>64403.34</v>
      </c>
      <c r="R41" s="28">
        <f t="shared" si="4"/>
        <v>11177.669999999998</v>
      </c>
      <c r="S41" s="88">
        <f t="shared" si="6"/>
        <v>9.6577953879376597E-3</v>
      </c>
    </row>
    <row r="42" spans="1:19" ht="15.95" customHeight="1" x14ac:dyDescent="0.25">
      <c r="A42" s="94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44"/>
      <c r="M42" s="44"/>
      <c r="N42" s="44">
        <v>1100</v>
      </c>
      <c r="O42" s="44"/>
      <c r="P42" s="28">
        <f t="shared" si="5"/>
        <v>6100</v>
      </c>
      <c r="Q42" s="28">
        <f>+'[1]EGR OCTUBRE 2024'!$Q$18</f>
        <v>370.41</v>
      </c>
      <c r="R42" s="28">
        <f t="shared" si="4"/>
        <v>5729.59</v>
      </c>
      <c r="S42" s="88">
        <f t="shared" si="6"/>
        <v>5.5545938916304478E-5</v>
      </c>
    </row>
    <row r="43" spans="1:19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44"/>
      <c r="M43" s="44"/>
      <c r="N43" s="44"/>
      <c r="O43" s="44"/>
      <c r="P43" s="28">
        <f t="shared" si="5"/>
        <v>0</v>
      </c>
      <c r="Q43" s="28"/>
      <c r="R43" s="28"/>
      <c r="S43" s="38"/>
    </row>
    <row r="44" spans="1:19" ht="15.95" customHeight="1" x14ac:dyDescent="0.25">
      <c r="A44" s="39">
        <v>1</v>
      </c>
      <c r="B44" s="108" t="s">
        <v>49</v>
      </c>
      <c r="C44" s="26"/>
      <c r="D44" s="28"/>
      <c r="E44" s="28"/>
      <c r="F44" s="44"/>
      <c r="G44" s="44"/>
      <c r="H44" s="28"/>
      <c r="I44" s="28"/>
      <c r="J44" s="44"/>
      <c r="K44" s="44"/>
      <c r="L44" s="44"/>
      <c r="M44" s="44"/>
      <c r="N44" s="44"/>
      <c r="O44" s="44"/>
      <c r="P44" s="28">
        <f t="shared" si="5"/>
        <v>0</v>
      </c>
      <c r="Q44" s="28"/>
      <c r="R44" s="28"/>
      <c r="S44" s="38"/>
    </row>
    <row r="45" spans="1:19" ht="15.95" customHeight="1" x14ac:dyDescent="0.25">
      <c r="A45" s="41" t="s">
        <v>91</v>
      </c>
      <c r="B45" s="100" t="s">
        <v>50</v>
      </c>
      <c r="C45" s="28">
        <v>13750</v>
      </c>
      <c r="D45" s="28"/>
      <c r="E45" s="28"/>
      <c r="F45" s="44"/>
      <c r="G45" s="44"/>
      <c r="H45" s="28"/>
      <c r="I45" s="28"/>
      <c r="J45" s="44"/>
      <c r="K45" s="44"/>
      <c r="L45" s="44">
        <v>5000</v>
      </c>
      <c r="M45" s="44"/>
      <c r="N45" s="44"/>
      <c r="O45" s="44"/>
      <c r="P45" s="28">
        <f t="shared" si="5"/>
        <v>18750</v>
      </c>
      <c r="Q45" s="28">
        <f>+'[1]EGR OCTUBRE 2024'!$Q$19</f>
        <v>11124.93</v>
      </c>
      <c r="R45" s="28">
        <f t="shared" si="4"/>
        <v>7625.07</v>
      </c>
      <c r="S45" s="88">
        <f t="shared" ref="S45:S62" si="7">Q45/$Q$144</f>
        <v>1.6682721368973925E-3</v>
      </c>
    </row>
    <row r="46" spans="1:19" ht="15.95" customHeight="1" x14ac:dyDescent="0.25">
      <c r="A46" s="41" t="s">
        <v>92</v>
      </c>
      <c r="B46" s="100" t="s">
        <v>51</v>
      </c>
      <c r="C46" s="28">
        <v>26100</v>
      </c>
      <c r="D46" s="28"/>
      <c r="E46" s="28"/>
      <c r="F46" s="44"/>
      <c r="G46" s="44"/>
      <c r="H46" s="28"/>
      <c r="I46" s="28"/>
      <c r="J46" s="44"/>
      <c r="K46" s="44"/>
      <c r="L46" s="44"/>
      <c r="M46" s="44"/>
      <c r="N46" s="44"/>
      <c r="O46" s="44"/>
      <c r="P46" s="28">
        <f t="shared" si="5"/>
        <v>26100</v>
      </c>
      <c r="Q46" s="28">
        <f>+'[1]EGR OCTUBRE 2024'!$Q$20</f>
        <v>13207.190000000002</v>
      </c>
      <c r="R46" s="28">
        <f t="shared" si="4"/>
        <v>12892.809999999998</v>
      </c>
      <c r="S46" s="88">
        <f t="shared" si="7"/>
        <v>1.9805236602576264E-3</v>
      </c>
    </row>
    <row r="47" spans="1:19" ht="15.95" customHeight="1" x14ac:dyDescent="0.25">
      <c r="A47" s="41" t="s">
        <v>93</v>
      </c>
      <c r="B47" s="100" t="s">
        <v>52</v>
      </c>
      <c r="C47" s="28">
        <v>2000</v>
      </c>
      <c r="D47" s="28"/>
      <c r="E47" s="28"/>
      <c r="F47" s="44"/>
      <c r="G47" s="44"/>
      <c r="H47" s="28"/>
      <c r="I47" s="28"/>
      <c r="J47" s="44"/>
      <c r="K47" s="44"/>
      <c r="L47" s="44"/>
      <c r="M47" s="44"/>
      <c r="N47" s="44"/>
      <c r="O47" s="44"/>
      <c r="P47" s="28">
        <f t="shared" si="5"/>
        <v>2000</v>
      </c>
      <c r="Q47" s="28">
        <f>+'[1]EGR OCTUBRE 2024'!$Q$21</f>
        <v>1508.32</v>
      </c>
      <c r="R47" s="28">
        <f t="shared" si="4"/>
        <v>491.68000000000006</v>
      </c>
      <c r="S47" s="88">
        <f t="shared" si="7"/>
        <v>2.2618463482692249E-4</v>
      </c>
    </row>
    <row r="48" spans="1:19" ht="15.95" customHeight="1" x14ac:dyDescent="0.25">
      <c r="A48" s="41" t="s">
        <v>94</v>
      </c>
      <c r="B48" s="100" t="s">
        <v>159</v>
      </c>
      <c r="C48" s="28">
        <v>8000</v>
      </c>
      <c r="D48" s="28"/>
      <c r="E48" s="28"/>
      <c r="F48" s="44"/>
      <c r="G48" s="44"/>
      <c r="H48" s="28"/>
      <c r="I48" s="28"/>
      <c r="J48" s="44"/>
      <c r="K48" s="44"/>
      <c r="L48" s="44"/>
      <c r="M48" s="44"/>
      <c r="N48" s="44"/>
      <c r="O48" s="44"/>
      <c r="P48" s="28">
        <f t="shared" si="5"/>
        <v>8000</v>
      </c>
      <c r="Q48" s="28">
        <f>+'[1]EGR OCTUBRE 2024'!$Q$22</f>
        <v>3065</v>
      </c>
      <c r="R48" s="121">
        <f t="shared" si="4"/>
        <v>4935</v>
      </c>
      <c r="S48" s="88">
        <f t="shared" si="7"/>
        <v>4.5962123802940853E-4</v>
      </c>
    </row>
    <row r="49" spans="1:19" ht="15.95" customHeight="1" x14ac:dyDescent="0.25">
      <c r="A49" s="41" t="s">
        <v>95</v>
      </c>
      <c r="B49" s="100" t="s">
        <v>160</v>
      </c>
      <c r="C49" s="28">
        <v>14250</v>
      </c>
      <c r="D49" s="28"/>
      <c r="E49" s="28"/>
      <c r="F49" s="44"/>
      <c r="G49" s="44"/>
      <c r="H49" s="28"/>
      <c r="I49" s="28"/>
      <c r="J49" s="44"/>
      <c r="K49" s="44"/>
      <c r="L49" s="44"/>
      <c r="M49" s="44"/>
      <c r="N49" s="44"/>
      <c r="O49" s="44"/>
      <c r="P49" s="28">
        <f t="shared" si="5"/>
        <v>14250</v>
      </c>
      <c r="Q49" s="28">
        <f>+'[1]EGR OCTUBRE 2024'!$Q$23</f>
        <v>8619.5499999999993</v>
      </c>
      <c r="R49" s="28">
        <f t="shared" si="4"/>
        <v>5630.4500000000007</v>
      </c>
      <c r="S49" s="88">
        <f t="shared" si="7"/>
        <v>1.2925703889906648E-3</v>
      </c>
    </row>
    <row r="50" spans="1:19" ht="15.95" customHeight="1" x14ac:dyDescent="0.25">
      <c r="A50" s="41" t="s">
        <v>96</v>
      </c>
      <c r="B50" s="100" t="s">
        <v>161</v>
      </c>
      <c r="C50" s="28">
        <v>673088.47</v>
      </c>
      <c r="D50" s="28"/>
      <c r="E50" s="28"/>
      <c r="F50" s="44">
        <v>300000</v>
      </c>
      <c r="G50" s="44"/>
      <c r="H50" s="28">
        <v>1130902.48</v>
      </c>
      <c r="I50" s="28"/>
      <c r="J50" s="44"/>
      <c r="K50" s="44"/>
      <c r="L50" s="44"/>
      <c r="M50" s="44"/>
      <c r="N50" s="44">
        <v>369629.34878048784</v>
      </c>
      <c r="O50" s="44"/>
      <c r="P50" s="28">
        <f t="shared" si="5"/>
        <v>2473620.2987804879</v>
      </c>
      <c r="Q50" s="28">
        <f>+'[1]EGR OCTUBRE 2024'!$Q$24</f>
        <v>1768570.5</v>
      </c>
      <c r="R50" s="28">
        <f t="shared" si="4"/>
        <v>705049.79878048785</v>
      </c>
      <c r="S50" s="88">
        <f t="shared" si="7"/>
        <v>0.26521127659128552</v>
      </c>
    </row>
    <row r="51" spans="1:19" ht="15.95" customHeight="1" x14ac:dyDescent="0.25">
      <c r="A51" s="41" t="s">
        <v>97</v>
      </c>
      <c r="B51" s="100" t="s">
        <v>53</v>
      </c>
      <c r="C51" s="28">
        <v>563742.69999999995</v>
      </c>
      <c r="D51" s="28"/>
      <c r="E51" s="28"/>
      <c r="F51" s="44"/>
      <c r="G51" s="44">
        <v>300000</v>
      </c>
      <c r="H51" s="28">
        <v>293382.87</v>
      </c>
      <c r="I51" s="28"/>
      <c r="J51" s="44"/>
      <c r="K51" s="44"/>
      <c r="L51" s="44"/>
      <c r="M51" s="44">
        <v>110000</v>
      </c>
      <c r="N51" s="44"/>
      <c r="O51" s="44"/>
      <c r="P51" s="28">
        <f t="shared" si="5"/>
        <v>447125.56999999995</v>
      </c>
      <c r="Q51" s="28">
        <f>+'[1]EGR OCTUBRE 2024'!$Q$25</f>
        <v>258929.25</v>
      </c>
      <c r="R51" s="28">
        <f t="shared" si="4"/>
        <v>188196.31999999995</v>
      </c>
      <c r="S51" s="88">
        <f t="shared" si="7"/>
        <v>3.8828509770644774E-2</v>
      </c>
    </row>
    <row r="52" spans="1:19" ht="15.95" customHeight="1" x14ac:dyDescent="0.25">
      <c r="A52" s="41">
        <v>136</v>
      </c>
      <c r="B52" s="100" t="s">
        <v>274</v>
      </c>
      <c r="C52" s="28"/>
      <c r="D52" s="28"/>
      <c r="E52" s="28"/>
      <c r="F52" s="44"/>
      <c r="G52" s="44"/>
      <c r="H52" s="28"/>
      <c r="I52" s="28"/>
      <c r="J52" s="44"/>
      <c r="K52" s="44"/>
      <c r="L52" s="44">
        <v>100000</v>
      </c>
      <c r="M52" s="44"/>
      <c r="N52" s="44">
        <v>28433.026829268296</v>
      </c>
      <c r="O52" s="44"/>
      <c r="P52" s="28">
        <f t="shared" si="5"/>
        <v>128433.02682926829</v>
      </c>
      <c r="Q52" s="28">
        <f>+'[1]EGR OCTUBRE 2024'!$Q$26</f>
        <v>34595.620000000003</v>
      </c>
      <c r="R52" s="28">
        <f t="shared" si="4"/>
        <v>93837.406829268293</v>
      </c>
      <c r="S52" s="88">
        <f t="shared" si="7"/>
        <v>5.1878896230978687E-3</v>
      </c>
    </row>
    <row r="53" spans="1:19" ht="15.95" customHeight="1" x14ac:dyDescent="0.25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44"/>
      <c r="M53" s="44"/>
      <c r="N53" s="44">
        <v>184814.67439024392</v>
      </c>
      <c r="O53" s="44"/>
      <c r="P53" s="28">
        <f t="shared" si="5"/>
        <v>1503864.3743902438</v>
      </c>
      <c r="Q53" s="28">
        <f>+'[1]EGR OCTUBRE 2024'!$Q$27</f>
        <v>879176.67</v>
      </c>
      <c r="R53" s="28">
        <f t="shared" si="4"/>
        <v>624687.70439024374</v>
      </c>
      <c r="S53" s="88">
        <f t="shared" si="7"/>
        <v>0.13183956590928964</v>
      </c>
    </row>
    <row r="54" spans="1:19" ht="15.95" customHeight="1" x14ac:dyDescent="0.25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44"/>
      <c r="M54" s="44"/>
      <c r="N54" s="44"/>
      <c r="O54" s="44"/>
      <c r="P54" s="28">
        <f t="shared" si="5"/>
        <v>225000</v>
      </c>
      <c r="Q54" s="28">
        <f>+'[1]EGR OCTUBRE 2024'!$Q$28</f>
        <v>94205.64</v>
      </c>
      <c r="R54" s="28">
        <f t="shared" si="4"/>
        <v>130794.36</v>
      </c>
      <c r="S54" s="88">
        <f t="shared" si="7"/>
        <v>1.4126888380473986E-2</v>
      </c>
    </row>
    <row r="55" spans="1:19" ht="15.95" customHeight="1" x14ac:dyDescent="0.25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44"/>
      <c r="M55" s="44"/>
      <c r="N55" s="44"/>
      <c r="O55" s="44"/>
      <c r="P55" s="28">
        <f t="shared" si="5"/>
        <v>75000</v>
      </c>
      <c r="Q55" s="28">
        <f>+'[1]EGR OCTUBRE 2024'!$Q$29</f>
        <v>0</v>
      </c>
      <c r="R55" s="28">
        <f t="shared" si="4"/>
        <v>75000</v>
      </c>
      <c r="S55" s="88">
        <f t="shared" si="7"/>
        <v>0</v>
      </c>
    </row>
    <row r="56" spans="1:19" ht="15.95" customHeight="1" x14ac:dyDescent="0.25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44"/>
      <c r="M56" s="44"/>
      <c r="N56" s="44"/>
      <c r="O56" s="44"/>
      <c r="P56" s="28">
        <f t="shared" si="5"/>
        <v>90000</v>
      </c>
      <c r="Q56" s="28">
        <f>+'[1]EGR OCTUBRE 2024'!$Q$30</f>
        <v>30000</v>
      </c>
      <c r="R56" s="28">
        <f t="shared" si="4"/>
        <v>60000</v>
      </c>
      <c r="S56" s="88">
        <f t="shared" si="7"/>
        <v>4.4987396870741457E-3</v>
      </c>
    </row>
    <row r="57" spans="1:19" ht="15.95" customHeight="1" x14ac:dyDescent="0.25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44"/>
      <c r="M57" s="44"/>
      <c r="N57" s="44">
        <v>25000</v>
      </c>
      <c r="O57" s="44"/>
      <c r="P57" s="28">
        <f t="shared" si="5"/>
        <v>35400</v>
      </c>
      <c r="Q57" s="28">
        <f>+'[1]EGR OCTUBRE 2024'!$Q$31</f>
        <v>7600</v>
      </c>
      <c r="R57" s="28">
        <f t="shared" si="4"/>
        <v>27800</v>
      </c>
      <c r="S57" s="88">
        <f t="shared" si="7"/>
        <v>1.1396807207254501E-3</v>
      </c>
    </row>
    <row r="58" spans="1:19" ht="31.5" customHeight="1" x14ac:dyDescent="0.25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44"/>
      <c r="M58" s="44"/>
      <c r="N58" s="44"/>
      <c r="O58" s="44"/>
      <c r="P58" s="28">
        <f t="shared" si="5"/>
        <v>3004.32</v>
      </c>
      <c r="Q58" s="28"/>
      <c r="R58" s="28">
        <f t="shared" si="4"/>
        <v>3004.32</v>
      </c>
      <c r="S58" s="88">
        <f t="shared" si="7"/>
        <v>0</v>
      </c>
    </row>
    <row r="59" spans="1:19" ht="31.5" customHeight="1" x14ac:dyDescent="0.25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44"/>
      <c r="M59" s="44"/>
      <c r="N59" s="44"/>
      <c r="O59" s="44"/>
      <c r="P59" s="28">
        <f t="shared" si="5"/>
        <v>7750</v>
      </c>
      <c r="Q59" s="28">
        <f>+'[1]EGR OCTUBRE 2024'!$Q$33</f>
        <v>2450</v>
      </c>
      <c r="R59" s="28">
        <f t="shared" si="4"/>
        <v>5300</v>
      </c>
      <c r="S59" s="88">
        <f t="shared" si="7"/>
        <v>3.6739707444438853E-4</v>
      </c>
    </row>
    <row r="60" spans="1:19" ht="30.75" customHeight="1" x14ac:dyDescent="0.25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44"/>
      <c r="M60" s="44"/>
      <c r="N60" s="44"/>
      <c r="O60" s="44"/>
      <c r="P60" s="28">
        <f t="shared" si="5"/>
        <v>7000</v>
      </c>
      <c r="Q60" s="28">
        <f>+'[1]EGR OCTUBRE 2024'!$Q$34</f>
        <v>691.53</v>
      </c>
      <c r="R60" s="28">
        <f t="shared" si="4"/>
        <v>6308.47</v>
      </c>
      <c r="S60" s="88">
        <f t="shared" si="7"/>
        <v>1.0370044852674613E-4</v>
      </c>
    </row>
    <row r="61" spans="1:19" ht="30.75" customHeight="1" x14ac:dyDescent="0.25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44"/>
      <c r="M61" s="44"/>
      <c r="N61" s="44"/>
      <c r="O61" s="44">
        <v>460</v>
      </c>
      <c r="P61" s="28">
        <f t="shared" si="5"/>
        <v>13540</v>
      </c>
      <c r="Q61" s="28">
        <f>+'[1]EGR OCTUBRE 2024'!$Q$35</f>
        <v>820</v>
      </c>
      <c r="R61" s="28">
        <f t="shared" si="4"/>
        <v>12720</v>
      </c>
      <c r="S61" s="88">
        <f t="shared" si="7"/>
        <v>1.2296555144669329E-4</v>
      </c>
    </row>
    <row r="62" spans="1:19" ht="15.95" hidden="1" customHeight="1" x14ac:dyDescent="0.25">
      <c r="A62" s="41" t="s">
        <v>106</v>
      </c>
      <c r="B62" s="100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44"/>
      <c r="M62" s="44"/>
      <c r="N62" s="44"/>
      <c r="O62" s="44"/>
      <c r="P62" s="28">
        <f t="shared" si="5"/>
        <v>0</v>
      </c>
      <c r="Q62" s="28"/>
      <c r="R62" s="28">
        <f t="shared" si="4"/>
        <v>0</v>
      </c>
      <c r="S62" s="88">
        <f t="shared" si="7"/>
        <v>0</v>
      </c>
    </row>
    <row r="63" spans="1:19" ht="15.95" customHeight="1" x14ac:dyDescent="0.25">
      <c r="A63" s="41">
        <v>169</v>
      </c>
      <c r="B63" s="100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44"/>
      <c r="M63" s="44"/>
      <c r="N63" s="44"/>
      <c r="O63" s="44"/>
      <c r="P63" s="28">
        <f t="shared" si="5"/>
        <v>15000</v>
      </c>
      <c r="Q63" s="28"/>
      <c r="R63" s="28">
        <f t="shared" si="4"/>
        <v>15000</v>
      </c>
      <c r="S63" s="88"/>
    </row>
    <row r="64" spans="1:19" ht="15.95" customHeight="1" x14ac:dyDescent="0.25">
      <c r="A64" s="41">
        <v>171</v>
      </c>
      <c r="B64" s="100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44"/>
      <c r="M64" s="44"/>
      <c r="N64" s="44"/>
      <c r="O64" s="44"/>
      <c r="P64" s="28">
        <f t="shared" si="5"/>
        <v>15000</v>
      </c>
      <c r="Q64" s="28"/>
      <c r="R64" s="28">
        <f t="shared" si="4"/>
        <v>15000</v>
      </c>
      <c r="S64" s="88"/>
    </row>
    <row r="65" spans="1:23" ht="15.95" customHeight="1" x14ac:dyDescent="0.25">
      <c r="A65" s="41" t="s">
        <v>107</v>
      </c>
      <c r="B65" s="100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44"/>
      <c r="M65" s="44"/>
      <c r="N65" s="44"/>
      <c r="O65" s="44"/>
      <c r="P65" s="28">
        <f t="shared" si="5"/>
        <v>30750</v>
      </c>
      <c r="Q65" s="28"/>
      <c r="R65" s="28">
        <f t="shared" si="4"/>
        <v>30750</v>
      </c>
      <c r="S65" s="88">
        <f>Q65/$Q$144</f>
        <v>0</v>
      </c>
    </row>
    <row r="66" spans="1:23" ht="34.5" customHeight="1" x14ac:dyDescent="0.25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44"/>
      <c r="M66" s="44"/>
      <c r="N66" s="44"/>
      <c r="O66" s="44"/>
      <c r="P66" s="28">
        <f t="shared" si="5"/>
        <v>20000</v>
      </c>
      <c r="Q66" s="28">
        <f>+'[1]EGR OCTUBRE 2024'!$Q$38</f>
        <v>4000</v>
      </c>
      <c r="R66" s="28">
        <f t="shared" si="4"/>
        <v>16000</v>
      </c>
      <c r="S66" s="88"/>
    </row>
    <row r="67" spans="1:23" ht="33" customHeight="1" x14ac:dyDescent="0.25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44"/>
      <c r="M67" s="44"/>
      <c r="N67" s="44"/>
      <c r="O67" s="44"/>
      <c r="P67" s="28">
        <f t="shared" si="5"/>
        <v>260706.83</v>
      </c>
      <c r="Q67" s="28"/>
      <c r="R67" s="28">
        <f t="shared" si="4"/>
        <v>260706.83</v>
      </c>
      <c r="S67" s="88">
        <f t="shared" ref="S67:S81" si="8">Q67/$Q$144</f>
        <v>0</v>
      </c>
    </row>
    <row r="68" spans="1:23" ht="15.95" customHeight="1" x14ac:dyDescent="0.25">
      <c r="A68" s="41">
        <v>182</v>
      </c>
      <c r="B68" s="100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44"/>
      <c r="M68" s="44"/>
      <c r="N68" s="44"/>
      <c r="O68" s="44">
        <v>3776</v>
      </c>
      <c r="P68" s="28">
        <f t="shared" si="5"/>
        <v>6224</v>
      </c>
      <c r="Q68" s="28"/>
      <c r="R68" s="28">
        <f t="shared" si="4"/>
        <v>6224</v>
      </c>
      <c r="S68" s="88">
        <f t="shared" si="8"/>
        <v>0</v>
      </c>
    </row>
    <row r="69" spans="1:23" ht="15.95" customHeight="1" x14ac:dyDescent="0.25">
      <c r="A69" s="41" t="s">
        <v>109</v>
      </c>
      <c r="B69" s="100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44"/>
      <c r="M69" s="44"/>
      <c r="N69" s="44"/>
      <c r="O69" s="44"/>
      <c r="P69" s="28">
        <f t="shared" si="5"/>
        <v>60000</v>
      </c>
      <c r="Q69" s="28">
        <f>+'[1]EGR OCTUBRE 2024'!$Q$40</f>
        <v>38404.44</v>
      </c>
      <c r="R69" s="28">
        <f t="shared" si="4"/>
        <v>21595.559999999998</v>
      </c>
      <c r="S69" s="88">
        <f t="shared" si="8"/>
        <v>5.759052612928593E-3</v>
      </c>
    </row>
    <row r="70" spans="1:23" ht="32.25" customHeight="1" x14ac:dyDescent="0.25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44"/>
      <c r="M70" s="44"/>
      <c r="N70" s="44"/>
      <c r="O70" s="44"/>
      <c r="P70" s="28">
        <f t="shared" si="5"/>
        <v>144000</v>
      </c>
      <c r="Q70" s="28">
        <f>+'[1]EGR OCTUBRE 2024'!$Q$41</f>
        <v>50600</v>
      </c>
      <c r="R70" s="28">
        <f t="shared" si="4"/>
        <v>93400</v>
      </c>
      <c r="S70" s="88">
        <f t="shared" si="8"/>
        <v>7.587874272198392E-3</v>
      </c>
    </row>
    <row r="71" spans="1:23" ht="15.95" customHeight="1" x14ac:dyDescent="0.25">
      <c r="A71" s="41" t="s">
        <v>111</v>
      </c>
      <c r="B71" s="100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44"/>
      <c r="M71" s="44"/>
      <c r="N71" s="44"/>
      <c r="O71" s="44">
        <v>8324</v>
      </c>
      <c r="P71" s="28">
        <f t="shared" si="5"/>
        <v>1176</v>
      </c>
      <c r="Q71" s="28">
        <f>+'[1]EGR OCTUBRE 2024'!$Q$42</f>
        <v>1176</v>
      </c>
      <c r="R71" s="28">
        <f t="shared" si="4"/>
        <v>0</v>
      </c>
      <c r="S71" s="88">
        <f t="shared" si="8"/>
        <v>1.7635059573330649E-4</v>
      </c>
    </row>
    <row r="72" spans="1:23" ht="32.25" customHeight="1" x14ac:dyDescent="0.25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44"/>
      <c r="M72" s="44"/>
      <c r="N72" s="44"/>
      <c r="O72" s="44">
        <v>24540</v>
      </c>
      <c r="P72" s="28">
        <f t="shared" si="5"/>
        <v>0</v>
      </c>
      <c r="Q72" s="28"/>
      <c r="R72" s="28">
        <f t="shared" si="4"/>
        <v>0</v>
      </c>
      <c r="S72" s="88">
        <f t="shared" si="8"/>
        <v>0</v>
      </c>
    </row>
    <row r="73" spans="1:23" ht="15.95" customHeight="1" x14ac:dyDescent="0.25">
      <c r="A73" s="41" t="s">
        <v>113</v>
      </c>
      <c r="B73" s="100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44"/>
      <c r="M73" s="44"/>
      <c r="N73" s="44"/>
      <c r="O73" s="44"/>
      <c r="P73" s="28">
        <f t="shared" si="5"/>
        <v>963300</v>
      </c>
      <c r="Q73" s="28">
        <f>+'[1]EGR OCTUBRE 2024'!$Q$44</f>
        <v>773055.91999999993</v>
      </c>
      <c r="R73" s="28">
        <f t="shared" si="4"/>
        <v>190244.08000000007</v>
      </c>
      <c r="S73" s="88">
        <f t="shared" si="8"/>
        <v>0.1159259115877205</v>
      </c>
    </row>
    <row r="74" spans="1:23" ht="32.25" customHeight="1" x14ac:dyDescent="0.25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44"/>
      <c r="M74" s="44"/>
      <c r="N74" s="44"/>
      <c r="O74" s="44"/>
      <c r="P74" s="28">
        <f t="shared" si="5"/>
        <v>8000</v>
      </c>
      <c r="Q74" s="28"/>
      <c r="R74" s="28">
        <f t="shared" si="4"/>
        <v>8000</v>
      </c>
      <c r="S74" s="88">
        <f t="shared" si="8"/>
        <v>0</v>
      </c>
    </row>
    <row r="75" spans="1:23" ht="15.95" customHeight="1" x14ac:dyDescent="0.25">
      <c r="A75" s="41" t="s">
        <v>115</v>
      </c>
      <c r="B75" s="100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44"/>
      <c r="M75" s="44"/>
      <c r="N75" s="44"/>
      <c r="O75" s="44">
        <v>130000</v>
      </c>
      <c r="P75" s="28">
        <f t="shared" si="5"/>
        <v>0</v>
      </c>
      <c r="Q75" s="28"/>
      <c r="R75" s="28">
        <f t="shared" si="4"/>
        <v>0</v>
      </c>
      <c r="S75" s="88">
        <f t="shared" si="8"/>
        <v>0</v>
      </c>
    </row>
    <row r="76" spans="1:23" ht="15.95" customHeight="1" x14ac:dyDescent="0.25">
      <c r="A76" s="41" t="s">
        <v>116</v>
      </c>
      <c r="B76" s="100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44"/>
      <c r="M76" s="44"/>
      <c r="N76" s="44"/>
      <c r="O76" s="44"/>
      <c r="P76" s="28">
        <f t="shared" si="5"/>
        <v>8250</v>
      </c>
      <c r="Q76" s="28">
        <f>+'[1]EGR OCTUBRE 2024'!$Q$47</f>
        <v>1265.1099999999999</v>
      </c>
      <c r="R76" s="28">
        <f t="shared" si="4"/>
        <v>6984.89</v>
      </c>
      <c r="S76" s="88">
        <f t="shared" si="8"/>
        <v>1.8971335218381238E-4</v>
      </c>
    </row>
    <row r="77" spans="1:23" ht="15.95" customHeight="1" x14ac:dyDescent="0.25">
      <c r="A77" s="41" t="s">
        <v>117</v>
      </c>
      <c r="B77" s="100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44"/>
      <c r="M77" s="44"/>
      <c r="N77" s="44"/>
      <c r="O77" s="44"/>
      <c r="P77" s="28">
        <f t="shared" si="5"/>
        <v>2500</v>
      </c>
      <c r="Q77" s="28">
        <f>+'[1]EGR OCTUBRE 2024'!$Q$48</f>
        <v>1673.8300000000002</v>
      </c>
      <c r="R77" s="28">
        <f t="shared" si="4"/>
        <v>826.16999999999985</v>
      </c>
      <c r="S77" s="88">
        <f t="shared" si="8"/>
        <v>2.5100418168051057E-4</v>
      </c>
    </row>
    <row r="78" spans="1:23" ht="15.95" customHeight="1" x14ac:dyDescent="0.25">
      <c r="A78" s="41" t="s">
        <v>118</v>
      </c>
      <c r="B78" s="100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44"/>
      <c r="M78" s="44"/>
      <c r="N78" s="44"/>
      <c r="O78" s="44"/>
      <c r="P78" s="28">
        <f t="shared" si="5"/>
        <v>125000</v>
      </c>
      <c r="Q78" s="28">
        <f>+'[1]EGR OCTUBRE 2024'!$Q$49</f>
        <v>20890.009999999998</v>
      </c>
      <c r="R78" s="28">
        <f t="shared" si="4"/>
        <v>104109.99</v>
      </c>
      <c r="S78" s="88">
        <f t="shared" si="8"/>
        <v>3.132623901679192E-3</v>
      </c>
    </row>
    <row r="79" spans="1:23" ht="15.95" customHeight="1" x14ac:dyDescent="0.25">
      <c r="A79" s="41" t="s">
        <v>119</v>
      </c>
      <c r="B79" s="100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44"/>
      <c r="M79" s="44"/>
      <c r="N79" s="44"/>
      <c r="O79" s="44"/>
      <c r="P79" s="28">
        <f t="shared" si="5"/>
        <v>50000</v>
      </c>
      <c r="Q79" s="28">
        <f>+'[1]EGR OCTUBRE 2024'!$Q$50</f>
        <v>10522.8</v>
      </c>
      <c r="R79" s="28">
        <f t="shared" si="4"/>
        <v>39477.199999999997</v>
      </c>
      <c r="S79" s="88">
        <f t="shared" si="8"/>
        <v>1.577977932638127E-3</v>
      </c>
    </row>
    <row r="80" spans="1:23" ht="15.95" customHeight="1" x14ac:dyDescent="0.25">
      <c r="A80" s="41" t="s">
        <v>178</v>
      </c>
      <c r="B80" s="100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44"/>
      <c r="M80" s="44"/>
      <c r="N80" s="44"/>
      <c r="O80" s="44">
        <v>46100</v>
      </c>
      <c r="P80" s="28">
        <f t="shared" si="5"/>
        <v>0</v>
      </c>
      <c r="Q80" s="28"/>
      <c r="R80" s="28">
        <f t="shared" si="4"/>
        <v>0</v>
      </c>
      <c r="S80" s="88">
        <f t="shared" si="8"/>
        <v>0</v>
      </c>
      <c r="W80" s="14"/>
    </row>
    <row r="81" spans="1:23" ht="15.95" customHeight="1" x14ac:dyDescent="0.25">
      <c r="A81" s="41" t="s">
        <v>120</v>
      </c>
      <c r="B81" s="100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44"/>
      <c r="M81" s="44"/>
      <c r="N81" s="44"/>
      <c r="O81" s="44">
        <v>47102.68</v>
      </c>
      <c r="P81" s="28">
        <f t="shared" si="5"/>
        <v>3897.3199999999997</v>
      </c>
      <c r="Q81" s="28">
        <f>+'[1]EGR OCTUBRE 2024'!$Q$52</f>
        <v>6231.32</v>
      </c>
      <c r="R81" s="121">
        <f t="shared" si="4"/>
        <v>-2334</v>
      </c>
      <c r="S81" s="88">
        <f t="shared" si="8"/>
        <v>9.3443621956196211E-4</v>
      </c>
      <c r="W81" s="4"/>
    </row>
    <row r="82" spans="1:23" ht="15.95" customHeight="1" x14ac:dyDescent="0.25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44"/>
      <c r="M82" s="44"/>
      <c r="N82" s="44"/>
      <c r="O82" s="44"/>
      <c r="P82" s="28">
        <f t="shared" si="5"/>
        <v>0</v>
      </c>
      <c r="Q82" s="28"/>
      <c r="R82" s="28"/>
      <c r="S82" s="88"/>
    </row>
    <row r="83" spans="1:23" ht="15.95" customHeight="1" x14ac:dyDescent="0.25">
      <c r="A83" s="39">
        <v>2</v>
      </c>
      <c r="B83" s="108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44"/>
      <c r="M83" s="44"/>
      <c r="N83" s="44"/>
      <c r="O83" s="44"/>
      <c r="P83" s="28">
        <f t="shared" si="5"/>
        <v>0</v>
      </c>
      <c r="Q83" s="28"/>
      <c r="R83" s="28"/>
      <c r="S83" s="88"/>
    </row>
    <row r="84" spans="1:23" ht="15.95" customHeight="1" x14ac:dyDescent="0.25">
      <c r="A84" s="41" t="s">
        <v>121</v>
      </c>
      <c r="B84" s="100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44"/>
      <c r="M84" s="44"/>
      <c r="N84" s="44"/>
      <c r="O84" s="44">
        <v>76797.320000000007</v>
      </c>
      <c r="P84" s="28">
        <f t="shared" si="5"/>
        <v>69986.78</v>
      </c>
      <c r="Q84" s="28">
        <f>+'[1]EGR OCTUBRE 2024'!$Q$53</f>
        <v>42446.45</v>
      </c>
      <c r="R84" s="28">
        <f t="shared" si="4"/>
        <v>27540.33</v>
      </c>
      <c r="S84" s="88">
        <f t="shared" ref="S84:S120" si="9">Q84/$Q$144</f>
        <v>6.3651843063469446E-3</v>
      </c>
      <c r="W84" s="4"/>
    </row>
    <row r="85" spans="1:23" ht="15.95" hidden="1" customHeight="1" x14ac:dyDescent="0.25">
      <c r="A85" s="41">
        <v>214</v>
      </c>
      <c r="B85" s="100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44"/>
      <c r="M85" s="44"/>
      <c r="N85" s="44"/>
      <c r="O85" s="44"/>
      <c r="P85" s="28">
        <f t="shared" si="5"/>
        <v>0</v>
      </c>
      <c r="Q85" s="28"/>
      <c r="R85" s="28">
        <f t="shared" si="4"/>
        <v>0</v>
      </c>
      <c r="S85" s="88">
        <f t="shared" si="9"/>
        <v>0</v>
      </c>
    </row>
    <row r="86" spans="1:23" ht="15.95" customHeight="1" x14ac:dyDescent="0.25">
      <c r="A86" s="41">
        <v>223</v>
      </c>
      <c r="B86" s="100" t="s">
        <v>192</v>
      </c>
      <c r="C86" s="28">
        <v>2000</v>
      </c>
      <c r="D86" s="28"/>
      <c r="E86" s="28"/>
      <c r="F86" s="44"/>
      <c r="G86" s="44"/>
      <c r="H86" s="28">
        <v>10000</v>
      </c>
      <c r="I86" s="28"/>
      <c r="J86" s="44"/>
      <c r="K86" s="44"/>
      <c r="L86" s="44"/>
      <c r="M86" s="44"/>
      <c r="N86" s="44"/>
      <c r="O86" s="44"/>
      <c r="P86" s="28">
        <f t="shared" si="5"/>
        <v>12000</v>
      </c>
      <c r="Q86" s="28">
        <f>+'[1]EGR OCTUBRE 2024'!$Q$55</f>
        <v>165</v>
      </c>
      <c r="R86" s="28">
        <f t="shared" si="4"/>
        <v>11835</v>
      </c>
      <c r="S86" s="88">
        <f t="shared" si="9"/>
        <v>2.47430682789078E-5</v>
      </c>
    </row>
    <row r="87" spans="1:23" ht="15.95" hidden="1" customHeight="1" x14ac:dyDescent="0.25">
      <c r="A87" s="41">
        <v>229</v>
      </c>
      <c r="B87" s="100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44"/>
      <c r="M87" s="44"/>
      <c r="N87" s="44"/>
      <c r="O87" s="44"/>
      <c r="P87" s="28">
        <f t="shared" si="5"/>
        <v>0</v>
      </c>
      <c r="Q87" s="28"/>
      <c r="R87" s="28">
        <f t="shared" si="4"/>
        <v>0</v>
      </c>
      <c r="S87" s="88">
        <f t="shared" si="9"/>
        <v>0</v>
      </c>
    </row>
    <row r="88" spans="1:23" ht="15.95" customHeight="1" x14ac:dyDescent="0.25">
      <c r="A88" s="41" t="s">
        <v>122</v>
      </c>
      <c r="B88" s="100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44"/>
      <c r="M88" s="44"/>
      <c r="N88" s="44"/>
      <c r="O88" s="44"/>
      <c r="P88" s="28">
        <f t="shared" si="5"/>
        <v>5000</v>
      </c>
      <c r="Q88" s="28">
        <f>+'[1]EGR OCTUBRE 2024'!$Q$57</f>
        <v>1054.49</v>
      </c>
      <c r="R88" s="28">
        <f t="shared" si="4"/>
        <v>3945.51</v>
      </c>
      <c r="S88" s="88">
        <f t="shared" si="9"/>
        <v>1.5812920042076052E-4</v>
      </c>
    </row>
    <row r="89" spans="1:23" ht="15.95" customHeight="1" x14ac:dyDescent="0.25">
      <c r="A89" s="41" t="s">
        <v>123</v>
      </c>
      <c r="B89" s="100" t="s">
        <v>63</v>
      </c>
      <c r="C89" s="28">
        <v>33800</v>
      </c>
      <c r="D89" s="28"/>
      <c r="E89" s="28"/>
      <c r="F89" s="44"/>
      <c r="G89" s="44"/>
      <c r="H89" s="28">
        <v>20017.62</v>
      </c>
      <c r="I89" s="28"/>
      <c r="J89" s="44">
        <v>15000</v>
      </c>
      <c r="K89" s="44"/>
      <c r="L89" s="44"/>
      <c r="M89" s="44"/>
      <c r="N89" s="44"/>
      <c r="O89" s="44"/>
      <c r="P89" s="28">
        <f t="shared" si="5"/>
        <v>68817.62</v>
      </c>
      <c r="Q89" s="28">
        <f>+'[1]EGR OCTUBRE 2024'!$Q$58</f>
        <v>40953.800000000003</v>
      </c>
      <c r="R89" s="28">
        <f t="shared" si="4"/>
        <v>27863.819999999992</v>
      </c>
      <c r="S89" s="88">
        <f t="shared" si="9"/>
        <v>6.1413495132165716E-3</v>
      </c>
    </row>
    <row r="90" spans="1:23" ht="15.95" customHeight="1" x14ac:dyDescent="0.25">
      <c r="A90" s="41" t="s">
        <v>124</v>
      </c>
      <c r="B90" s="100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44"/>
      <c r="M90" s="44"/>
      <c r="N90" s="44"/>
      <c r="O90" s="44"/>
      <c r="P90" s="28">
        <f t="shared" si="5"/>
        <v>5250</v>
      </c>
      <c r="Q90" s="28">
        <f>+'[1]EGR OCTUBRE 2024'!$Q$59</f>
        <v>3462.65</v>
      </c>
      <c r="R90" s="28">
        <f t="shared" si="4"/>
        <v>1787.35</v>
      </c>
      <c r="S90" s="88">
        <f t="shared" si="9"/>
        <v>5.1925203258157632E-4</v>
      </c>
    </row>
    <row r="91" spans="1:23" ht="15.95" customHeight="1" x14ac:dyDescent="0.25">
      <c r="A91" s="41" t="s">
        <v>125</v>
      </c>
      <c r="B91" s="100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44"/>
      <c r="M91" s="44"/>
      <c r="N91" s="44"/>
      <c r="O91" s="44"/>
      <c r="P91" s="28">
        <f t="shared" si="5"/>
        <v>10500</v>
      </c>
      <c r="Q91" s="28">
        <f>+'[1]EGR OCTUBRE 2024'!$Q$60</f>
        <v>7385.9100000000017</v>
      </c>
      <c r="R91" s="28">
        <f t="shared" si="4"/>
        <v>3114.0899999999983</v>
      </c>
      <c r="S91" s="88">
        <f t="shared" si="9"/>
        <v>1.1075762147385935E-3</v>
      </c>
    </row>
    <row r="92" spans="1:23" ht="15.95" customHeight="1" x14ac:dyDescent="0.25">
      <c r="A92" s="41" t="s">
        <v>126</v>
      </c>
      <c r="B92" s="100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44"/>
      <c r="M92" s="44"/>
      <c r="N92" s="44"/>
      <c r="O92" s="44"/>
      <c r="P92" s="28">
        <f t="shared" si="5"/>
        <v>3050</v>
      </c>
      <c r="Q92" s="28">
        <f>+'[1]EGR OCTUBRE 2024'!$Q$61</f>
        <v>1844.6499999999999</v>
      </c>
      <c r="R92" s="28">
        <f t="shared" si="4"/>
        <v>1205.3500000000001</v>
      </c>
      <c r="S92" s="88">
        <f t="shared" si="9"/>
        <v>2.7662000545871073E-4</v>
      </c>
    </row>
    <row r="93" spans="1:23" ht="15.95" customHeight="1" x14ac:dyDescent="0.25">
      <c r="A93" s="41" t="s">
        <v>127</v>
      </c>
      <c r="B93" s="100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44"/>
      <c r="M93" s="44"/>
      <c r="N93" s="44"/>
      <c r="O93" s="44"/>
      <c r="P93" s="28">
        <f t="shared" si="5"/>
        <v>875</v>
      </c>
      <c r="Q93" s="28"/>
      <c r="R93" s="28">
        <f t="shared" si="4"/>
        <v>875</v>
      </c>
      <c r="S93" s="88">
        <f t="shared" si="9"/>
        <v>0</v>
      </c>
    </row>
    <row r="94" spans="1:23" ht="15.95" customHeight="1" x14ac:dyDescent="0.25">
      <c r="A94" s="41" t="s">
        <v>128</v>
      </c>
      <c r="B94" s="100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44"/>
      <c r="M94" s="44"/>
      <c r="N94" s="44"/>
      <c r="O94" s="44"/>
      <c r="P94" s="28">
        <f t="shared" si="5"/>
        <v>5500</v>
      </c>
      <c r="Q94" s="28"/>
      <c r="R94" s="28">
        <f t="shared" si="4"/>
        <v>5500</v>
      </c>
      <c r="S94" s="88">
        <f t="shared" si="9"/>
        <v>0</v>
      </c>
    </row>
    <row r="95" spans="1:23" ht="15.95" customHeight="1" x14ac:dyDescent="0.25">
      <c r="A95" s="41" t="s">
        <v>129</v>
      </c>
      <c r="B95" s="100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44"/>
      <c r="M95" s="44"/>
      <c r="N95" s="44"/>
      <c r="O95" s="44"/>
      <c r="P95" s="28">
        <f t="shared" si="5"/>
        <v>2700</v>
      </c>
      <c r="Q95" s="28">
        <f>+'[1]EGR OCTUBRE 2024'!$Q$64</f>
        <v>2697.65</v>
      </c>
      <c r="R95" s="28">
        <f t="shared" si="4"/>
        <v>2.3499999999999091</v>
      </c>
      <c r="S95" s="88">
        <f t="shared" si="9"/>
        <v>4.0453417056118563E-4</v>
      </c>
    </row>
    <row r="96" spans="1:23" ht="15.95" customHeight="1" x14ac:dyDescent="0.25">
      <c r="A96" s="41" t="s">
        <v>196</v>
      </c>
      <c r="B96" s="100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44"/>
      <c r="M96" s="44"/>
      <c r="N96" s="44"/>
      <c r="O96" s="44"/>
      <c r="P96" s="28">
        <f t="shared" ref="P96:P143" si="10">+C96+D96-E96+F96-G96+H96-I96+J96-K96+L96-M96+N96-O96</f>
        <v>2800</v>
      </c>
      <c r="Q96" s="28">
        <f>+'[1]EGR OCTUBRE 2024'!$Q$65</f>
        <v>761</v>
      </c>
      <c r="R96" s="28">
        <f t="shared" si="4"/>
        <v>2039</v>
      </c>
      <c r="S96" s="88">
        <f t="shared" si="9"/>
        <v>1.1411803006211416E-4</v>
      </c>
    </row>
    <row r="97" spans="1:19" ht="15.95" customHeight="1" x14ac:dyDescent="0.25">
      <c r="A97" s="41" t="s">
        <v>130</v>
      </c>
      <c r="B97" s="100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44"/>
      <c r="M97" s="44"/>
      <c r="N97" s="44"/>
      <c r="O97" s="44"/>
      <c r="P97" s="28">
        <f t="shared" si="10"/>
        <v>8500</v>
      </c>
      <c r="Q97" s="28">
        <f>+'[1]EGR OCTUBRE 2024'!$Q$66</f>
        <v>6215.28</v>
      </c>
      <c r="R97" s="28">
        <f t="shared" si="4"/>
        <v>2284.7200000000003</v>
      </c>
      <c r="S97" s="88">
        <f t="shared" si="9"/>
        <v>9.3203089340927314E-4</v>
      </c>
    </row>
    <row r="98" spans="1:19" ht="15.95" customHeight="1" x14ac:dyDescent="0.25">
      <c r="A98" s="41" t="s">
        <v>131</v>
      </c>
      <c r="B98" s="100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44"/>
      <c r="M98" s="44"/>
      <c r="N98" s="44"/>
      <c r="O98" s="44"/>
      <c r="P98" s="28">
        <f t="shared" si="10"/>
        <v>6000</v>
      </c>
      <c r="Q98" s="28">
        <f>+'[1]EGR OCTUBRE 2024'!$Q$67</f>
        <v>777.5</v>
      </c>
      <c r="R98" s="28">
        <f t="shared" si="4"/>
        <v>5222.5</v>
      </c>
      <c r="S98" s="88">
        <f t="shared" si="9"/>
        <v>1.1659233689000493E-4</v>
      </c>
    </row>
    <row r="99" spans="1:19" ht="15.95" customHeight="1" x14ac:dyDescent="0.25">
      <c r="A99" s="41" t="s">
        <v>132</v>
      </c>
      <c r="B99" s="100" t="s">
        <v>69</v>
      </c>
      <c r="C99" s="28">
        <v>17500</v>
      </c>
      <c r="D99" s="28"/>
      <c r="E99" s="28"/>
      <c r="F99" s="44"/>
      <c r="G99" s="44"/>
      <c r="H99" s="28"/>
      <c r="I99" s="28"/>
      <c r="J99" s="44">
        <v>50000</v>
      </c>
      <c r="K99" s="44"/>
      <c r="L99" s="44"/>
      <c r="M99" s="44"/>
      <c r="N99" s="44"/>
      <c r="O99" s="44"/>
      <c r="P99" s="28">
        <f t="shared" si="10"/>
        <v>67500</v>
      </c>
      <c r="Q99" s="28">
        <f>+'[1]EGR OCTUBRE 2024'!$Q$68</f>
        <v>13103.85</v>
      </c>
      <c r="R99" s="28">
        <f t="shared" si="4"/>
        <v>54396.15</v>
      </c>
      <c r="S99" s="88">
        <f t="shared" si="9"/>
        <v>1.9650270016155513E-3</v>
      </c>
    </row>
    <row r="100" spans="1:19" ht="15.95" customHeight="1" x14ac:dyDescent="0.25">
      <c r="A100" s="41" t="s">
        <v>133</v>
      </c>
      <c r="B100" s="100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44">
        <v>5000</v>
      </c>
      <c r="M100" s="44"/>
      <c r="N100" s="44"/>
      <c r="O100" s="44"/>
      <c r="P100" s="28">
        <f t="shared" si="10"/>
        <v>8000</v>
      </c>
      <c r="Q100" s="28">
        <f>+'[1]EGR OCTUBRE 2024'!$Q$69</f>
        <v>5456.6</v>
      </c>
      <c r="R100" s="28">
        <f t="shared" si="4"/>
        <v>2543.3999999999996</v>
      </c>
      <c r="S100" s="88">
        <f t="shared" si="9"/>
        <v>8.1826076588295939E-4</v>
      </c>
    </row>
    <row r="101" spans="1:19" ht="15.95" customHeight="1" x14ac:dyDescent="0.25">
      <c r="A101" s="41" t="s">
        <v>134</v>
      </c>
      <c r="B101" s="100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44"/>
      <c r="M101" s="44"/>
      <c r="N101" s="44"/>
      <c r="O101" s="44"/>
      <c r="P101" s="28">
        <f t="shared" si="10"/>
        <v>1500</v>
      </c>
      <c r="Q101" s="28">
        <f>+'[1]EGR OCTUBRE 2024'!$Q$70</f>
        <v>588</v>
      </c>
      <c r="R101" s="28">
        <f t="shared" ref="R101:R139" si="11">P101-Q101</f>
        <v>912</v>
      </c>
      <c r="S101" s="88">
        <f t="shared" si="9"/>
        <v>8.8175297866653247E-5</v>
      </c>
    </row>
    <row r="102" spans="1:19" ht="15.95" customHeight="1" x14ac:dyDescent="0.25">
      <c r="A102" s="41" t="s">
        <v>135</v>
      </c>
      <c r="B102" s="100" t="s">
        <v>70</v>
      </c>
      <c r="C102" s="28">
        <v>181653.08</v>
      </c>
      <c r="D102" s="28"/>
      <c r="E102" s="28"/>
      <c r="F102" s="44"/>
      <c r="G102" s="44"/>
      <c r="H102" s="28">
        <v>100000</v>
      </c>
      <c r="I102" s="28"/>
      <c r="J102" s="44"/>
      <c r="K102" s="44">
        <v>122000</v>
      </c>
      <c r="L102" s="44"/>
      <c r="M102" s="44"/>
      <c r="N102" s="44"/>
      <c r="O102" s="44"/>
      <c r="P102" s="28">
        <f t="shared" si="10"/>
        <v>159653.07999999996</v>
      </c>
      <c r="Q102" s="28"/>
      <c r="R102" s="28">
        <f t="shared" si="11"/>
        <v>159653.07999999996</v>
      </c>
      <c r="S102" s="88">
        <f t="shared" si="9"/>
        <v>0</v>
      </c>
    </row>
    <row r="103" spans="1:19" ht="15.95" hidden="1" customHeight="1" x14ac:dyDescent="0.25">
      <c r="A103" s="41">
        <v>272</v>
      </c>
      <c r="B103" s="100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44"/>
      <c r="M103" s="44"/>
      <c r="N103" s="44"/>
      <c r="O103" s="44"/>
      <c r="P103" s="28">
        <f t="shared" si="10"/>
        <v>0</v>
      </c>
      <c r="Q103" s="28"/>
      <c r="R103" s="28">
        <f t="shared" si="11"/>
        <v>0</v>
      </c>
      <c r="S103" s="88">
        <f t="shared" si="9"/>
        <v>0</v>
      </c>
    </row>
    <row r="104" spans="1:19" ht="15.95" hidden="1" customHeight="1" x14ac:dyDescent="0.25">
      <c r="A104" s="41" t="s">
        <v>136</v>
      </c>
      <c r="B104" s="100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44"/>
      <c r="M104" s="44"/>
      <c r="N104" s="44"/>
      <c r="O104" s="44"/>
      <c r="P104" s="28">
        <f t="shared" si="10"/>
        <v>0</v>
      </c>
      <c r="Q104" s="28"/>
      <c r="R104" s="28">
        <f t="shared" si="11"/>
        <v>0</v>
      </c>
      <c r="S104" s="88">
        <f t="shared" si="9"/>
        <v>0</v>
      </c>
    </row>
    <row r="105" spans="1:19" ht="15.95" customHeight="1" x14ac:dyDescent="0.25">
      <c r="A105" s="41">
        <v>274</v>
      </c>
      <c r="B105" s="100" t="s">
        <v>71</v>
      </c>
      <c r="C105" s="28">
        <v>1500</v>
      </c>
      <c r="D105" s="28"/>
      <c r="E105" s="28"/>
      <c r="F105" s="44"/>
      <c r="G105" s="44"/>
      <c r="H105" s="28">
        <v>10000</v>
      </c>
      <c r="I105" s="28"/>
      <c r="J105" s="44"/>
      <c r="K105" s="44"/>
      <c r="L105" s="44"/>
      <c r="M105" s="44"/>
      <c r="N105" s="44"/>
      <c r="O105" s="44"/>
      <c r="P105" s="28">
        <f t="shared" si="10"/>
        <v>11500</v>
      </c>
      <c r="Q105" s="28">
        <f>+'[1]EGR OCTUBRE 2024'!$Q$74</f>
        <v>486</v>
      </c>
      <c r="R105" s="28">
        <f t="shared" si="11"/>
        <v>11014</v>
      </c>
      <c r="S105" s="88">
        <f t="shared" si="9"/>
        <v>7.287958293060116E-5</v>
      </c>
    </row>
    <row r="106" spans="1:19" ht="15.95" hidden="1" customHeight="1" x14ac:dyDescent="0.25">
      <c r="A106" s="41">
        <v>275</v>
      </c>
      <c r="B106" s="100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44"/>
      <c r="M106" s="44"/>
      <c r="N106" s="44"/>
      <c r="O106" s="44"/>
      <c r="P106" s="28">
        <f t="shared" si="10"/>
        <v>0</v>
      </c>
      <c r="Q106" s="28"/>
      <c r="R106" s="28">
        <f t="shared" si="11"/>
        <v>0</v>
      </c>
      <c r="S106" s="88">
        <f t="shared" si="9"/>
        <v>0</v>
      </c>
    </row>
    <row r="107" spans="1:19" ht="15.95" customHeight="1" x14ac:dyDescent="0.25">
      <c r="A107" s="41">
        <v>279</v>
      </c>
      <c r="B107" s="100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44"/>
      <c r="M107" s="44"/>
      <c r="N107" s="44"/>
      <c r="O107" s="44"/>
      <c r="P107" s="28">
        <f t="shared" si="10"/>
        <v>750</v>
      </c>
      <c r="Q107" s="28"/>
      <c r="R107" s="28">
        <f t="shared" si="11"/>
        <v>750</v>
      </c>
      <c r="S107" s="88">
        <f t="shared" si="9"/>
        <v>0</v>
      </c>
    </row>
    <row r="108" spans="1:19" ht="15.95" hidden="1" customHeight="1" x14ac:dyDescent="0.25">
      <c r="A108" s="41">
        <v>281</v>
      </c>
      <c r="B108" s="100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44"/>
      <c r="M108" s="44"/>
      <c r="N108" s="44"/>
      <c r="O108" s="44"/>
      <c r="P108" s="28">
        <f t="shared" si="10"/>
        <v>0</v>
      </c>
      <c r="Q108" s="28"/>
      <c r="R108" s="28">
        <f t="shared" si="11"/>
        <v>0</v>
      </c>
      <c r="S108" s="88">
        <f t="shared" si="9"/>
        <v>0</v>
      </c>
    </row>
    <row r="109" spans="1:19" ht="15.95" customHeight="1" x14ac:dyDescent="0.25">
      <c r="A109" s="41" t="s">
        <v>137</v>
      </c>
      <c r="B109" s="100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44"/>
      <c r="M109" s="44"/>
      <c r="N109" s="44"/>
      <c r="O109" s="44"/>
      <c r="P109" s="28">
        <f t="shared" si="10"/>
        <v>4800</v>
      </c>
      <c r="Q109" s="28">
        <f>+'[1]EGR OCTUBRE 2024'!$Q$78</f>
        <v>278.55</v>
      </c>
      <c r="R109" s="28">
        <f t="shared" si="11"/>
        <v>4521.45</v>
      </c>
      <c r="S109" s="88">
        <f t="shared" si="9"/>
        <v>4.1770797994483442E-5</v>
      </c>
    </row>
    <row r="110" spans="1:19" ht="15.95" customHeight="1" x14ac:dyDescent="0.25">
      <c r="A110" s="41" t="s">
        <v>138</v>
      </c>
      <c r="B110" s="100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44"/>
      <c r="M110" s="44"/>
      <c r="N110" s="44"/>
      <c r="O110" s="44"/>
      <c r="P110" s="28">
        <f t="shared" si="10"/>
        <v>28800</v>
      </c>
      <c r="Q110" s="28">
        <f>+'[1]EGR OCTUBRE 2024'!$Q$79</f>
        <v>1923.54</v>
      </c>
      <c r="R110" s="28">
        <f t="shared" si="11"/>
        <v>26876.46</v>
      </c>
      <c r="S110" s="88">
        <f t="shared" si="9"/>
        <v>2.8845019125582004E-4</v>
      </c>
    </row>
    <row r="111" spans="1:19" ht="15.95" customHeight="1" x14ac:dyDescent="0.25">
      <c r="A111" s="41" t="s">
        <v>139</v>
      </c>
      <c r="B111" s="100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44"/>
      <c r="M111" s="44"/>
      <c r="N111" s="44"/>
      <c r="O111" s="44"/>
      <c r="P111" s="28">
        <f t="shared" si="10"/>
        <v>1300000</v>
      </c>
      <c r="Q111" s="28">
        <f>+'[1]EGR OCTUBRE 2024'!$Q$80</f>
        <v>1088331</v>
      </c>
      <c r="R111" s="28">
        <f t="shared" si="11"/>
        <v>211669</v>
      </c>
      <c r="S111" s="88">
        <f t="shared" si="9"/>
        <v>0.16320392874576972</v>
      </c>
    </row>
    <row r="112" spans="1:19" ht="15.95" customHeight="1" x14ac:dyDescent="0.25">
      <c r="A112" s="41">
        <v>286</v>
      </c>
      <c r="B112" s="100" t="s">
        <v>207</v>
      </c>
      <c r="C112" s="28">
        <v>1500</v>
      </c>
      <c r="D112" s="28"/>
      <c r="E112" s="28"/>
      <c r="F112" s="44"/>
      <c r="G112" s="44"/>
      <c r="H112" s="28">
        <v>3000</v>
      </c>
      <c r="I112" s="28"/>
      <c r="J112" s="44"/>
      <c r="K112" s="44"/>
      <c r="L112" s="44"/>
      <c r="M112" s="44"/>
      <c r="N112" s="44"/>
      <c r="O112" s="44"/>
      <c r="P112" s="28">
        <f t="shared" si="10"/>
        <v>4500</v>
      </c>
      <c r="Q112" s="28">
        <f>+'[1]EGR OCTUBRE 2024'!$Q$81</f>
        <v>216</v>
      </c>
      <c r="R112" s="28">
        <f t="shared" si="11"/>
        <v>4284</v>
      </c>
      <c r="S112" s="88">
        <f t="shared" si="9"/>
        <v>3.239092574693385E-5</v>
      </c>
    </row>
    <row r="113" spans="1:19" ht="15.95" hidden="1" customHeight="1" x14ac:dyDescent="0.25">
      <c r="A113" s="41">
        <v>289</v>
      </c>
      <c r="B113" s="100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44"/>
      <c r="M113" s="44"/>
      <c r="N113" s="44"/>
      <c r="O113" s="44"/>
      <c r="P113" s="28">
        <f t="shared" si="10"/>
        <v>0</v>
      </c>
      <c r="Q113" s="28"/>
      <c r="R113" s="28">
        <f t="shared" si="11"/>
        <v>0</v>
      </c>
      <c r="S113" s="88">
        <f t="shared" si="9"/>
        <v>0</v>
      </c>
    </row>
    <row r="114" spans="1:19" ht="15.95" customHeight="1" x14ac:dyDescent="0.25">
      <c r="A114" s="41" t="s">
        <v>140</v>
      </c>
      <c r="B114" s="100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44"/>
      <c r="M114" s="44"/>
      <c r="N114" s="44"/>
      <c r="O114" s="44"/>
      <c r="P114" s="28">
        <f t="shared" si="10"/>
        <v>6600</v>
      </c>
      <c r="Q114" s="28">
        <f>+'[1]EGR OCTUBRE 2024'!$Q$83</f>
        <v>3546.08</v>
      </c>
      <c r="R114" s="28">
        <f t="shared" si="11"/>
        <v>3053.92</v>
      </c>
      <c r="S114" s="88">
        <f t="shared" si="9"/>
        <v>5.3176302765132945E-4</v>
      </c>
    </row>
    <row r="115" spans="1:19" ht="15.95" customHeight="1" x14ac:dyDescent="0.25">
      <c r="A115" s="41" t="s">
        <v>141</v>
      </c>
      <c r="B115" s="100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44"/>
      <c r="M115" s="44"/>
      <c r="N115" s="44"/>
      <c r="O115" s="44"/>
      <c r="P115" s="28">
        <f t="shared" si="10"/>
        <v>4000</v>
      </c>
      <c r="Q115" s="28">
        <f>+'[1]EGR OCTUBRE 2024'!$Q$84</f>
        <v>1789.0900000000001</v>
      </c>
      <c r="R115" s="28">
        <f t="shared" si="11"/>
        <v>2210.91</v>
      </c>
      <c r="S115" s="88">
        <f t="shared" si="9"/>
        <v>2.6828833955824946E-4</v>
      </c>
    </row>
    <row r="116" spans="1:19" ht="15.95" customHeight="1" x14ac:dyDescent="0.25">
      <c r="A116" s="41" t="s">
        <v>142</v>
      </c>
      <c r="B116" s="100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44"/>
      <c r="M116" s="44"/>
      <c r="N116" s="44"/>
      <c r="O116" s="44"/>
      <c r="P116" s="28">
        <f t="shared" si="10"/>
        <v>25251.9</v>
      </c>
      <c r="Q116" s="28">
        <f>+'[1]EGR OCTUBRE 2024'!$Q$85</f>
        <v>21295.07</v>
      </c>
      <c r="R116" s="28">
        <f t="shared" si="11"/>
        <v>3956.8300000000017</v>
      </c>
      <c r="S116" s="88">
        <f t="shared" si="9"/>
        <v>3.1933658849340671E-3</v>
      </c>
    </row>
    <row r="117" spans="1:19" ht="15.95" customHeight="1" x14ac:dyDescent="0.25">
      <c r="A117" s="41" t="s">
        <v>143</v>
      </c>
      <c r="B117" s="100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44"/>
      <c r="M117" s="44"/>
      <c r="N117" s="44"/>
      <c r="O117" s="44"/>
      <c r="P117" s="28">
        <f t="shared" si="10"/>
        <v>2000</v>
      </c>
      <c r="Q117" s="28"/>
      <c r="R117" s="28">
        <f t="shared" si="11"/>
        <v>2000</v>
      </c>
      <c r="S117" s="88">
        <f t="shared" si="9"/>
        <v>0</v>
      </c>
    </row>
    <row r="118" spans="1:19" ht="51" customHeight="1" x14ac:dyDescent="0.25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>
        <v>20500</v>
      </c>
      <c r="I118" s="28"/>
      <c r="J118" s="44"/>
      <c r="K118" s="44"/>
      <c r="L118" s="44"/>
      <c r="M118" s="44"/>
      <c r="N118" s="44"/>
      <c r="O118" s="44"/>
      <c r="P118" s="28">
        <f t="shared" si="10"/>
        <v>30000</v>
      </c>
      <c r="Q118" s="28">
        <f>+'[1]EGR OCTUBRE 2024'!$Q$87</f>
        <v>1044.8499999999999</v>
      </c>
      <c r="R118" s="28">
        <f t="shared" si="11"/>
        <v>28955.15</v>
      </c>
      <c r="S118" s="88">
        <f t="shared" si="9"/>
        <v>1.56683605401314E-4</v>
      </c>
    </row>
    <row r="119" spans="1:19" ht="15.95" customHeight="1" x14ac:dyDescent="0.25">
      <c r="A119" s="41" t="s">
        <v>145</v>
      </c>
      <c r="B119" s="100" t="s">
        <v>77</v>
      </c>
      <c r="C119" s="28">
        <v>76000</v>
      </c>
      <c r="D119" s="28"/>
      <c r="E119" s="28"/>
      <c r="F119" s="44"/>
      <c r="G119" s="44"/>
      <c r="H119" s="28">
        <v>75000</v>
      </c>
      <c r="I119" s="28"/>
      <c r="J119" s="44">
        <v>49000</v>
      </c>
      <c r="K119" s="44"/>
      <c r="L119" s="44"/>
      <c r="M119" s="44"/>
      <c r="N119" s="44">
        <f>+N19</f>
        <v>276759.92</v>
      </c>
      <c r="O119" s="44"/>
      <c r="P119" s="28">
        <f t="shared" si="10"/>
        <v>476759.92</v>
      </c>
      <c r="Q119" s="28">
        <f>+'[1]EGR OCTUBRE 2024'!$Q$88</f>
        <v>110096.52</v>
      </c>
      <c r="R119" s="28">
        <f t="shared" si="11"/>
        <v>366663.39999999997</v>
      </c>
      <c r="S119" s="88">
        <f t="shared" si="9"/>
        <v>1.6509852797758413E-2</v>
      </c>
    </row>
    <row r="120" spans="1:19" ht="15.95" customHeight="1" x14ac:dyDescent="0.25">
      <c r="A120" s="41" t="s">
        <v>146</v>
      </c>
      <c r="B120" s="100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44"/>
      <c r="M120" s="44"/>
      <c r="N120" s="44"/>
      <c r="O120" s="44"/>
      <c r="P120" s="28">
        <f t="shared" si="10"/>
        <v>9500</v>
      </c>
      <c r="Q120" s="28">
        <f>+'[1]EGR OCTUBRE 2024'!$Q$89</f>
        <v>8749.18</v>
      </c>
      <c r="R120" s="28">
        <f t="shared" si="11"/>
        <v>750.81999999999971</v>
      </c>
      <c r="S120" s="88">
        <f t="shared" si="9"/>
        <v>1.3120094431785124E-3</v>
      </c>
    </row>
    <row r="121" spans="1:19" ht="15.95" customHeight="1" x14ac:dyDescent="0.25">
      <c r="A121" s="41"/>
      <c r="B121" s="100"/>
      <c r="C121" s="28"/>
      <c r="D121" s="28"/>
      <c r="E121" s="28"/>
      <c r="F121" s="44"/>
      <c r="G121" s="44"/>
      <c r="H121" s="28"/>
      <c r="I121" s="28"/>
      <c r="J121" s="44"/>
      <c r="K121" s="44"/>
      <c r="L121" s="44"/>
      <c r="M121" s="44"/>
      <c r="N121" s="44"/>
      <c r="O121" s="44"/>
      <c r="P121" s="28">
        <f t="shared" si="10"/>
        <v>0</v>
      </c>
      <c r="Q121" s="28"/>
      <c r="R121" s="28"/>
      <c r="S121" s="88"/>
    </row>
    <row r="122" spans="1:19" ht="15.95" customHeight="1" x14ac:dyDescent="0.25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44"/>
      <c r="M122" s="44"/>
      <c r="N122" s="44"/>
      <c r="O122" s="44"/>
      <c r="P122" s="28">
        <f t="shared" si="10"/>
        <v>0</v>
      </c>
      <c r="Q122" s="28"/>
      <c r="R122" s="28"/>
      <c r="S122" s="88"/>
    </row>
    <row r="123" spans="1:19" ht="15.95" customHeight="1" x14ac:dyDescent="0.25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44"/>
      <c r="M123" s="44"/>
      <c r="N123" s="44"/>
      <c r="O123" s="44"/>
      <c r="P123" s="28">
        <f t="shared" si="10"/>
        <v>0</v>
      </c>
      <c r="Q123" s="28"/>
      <c r="R123" s="28"/>
      <c r="S123" s="88"/>
    </row>
    <row r="124" spans="1:19" ht="15.95" customHeight="1" x14ac:dyDescent="0.25">
      <c r="A124" s="39">
        <v>3</v>
      </c>
      <c r="B124" s="108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44"/>
      <c r="M124" s="44"/>
      <c r="N124" s="44"/>
      <c r="O124" s="44"/>
      <c r="P124" s="28">
        <f t="shared" si="10"/>
        <v>0</v>
      </c>
      <c r="Q124" s="28"/>
      <c r="R124" s="28"/>
      <c r="S124" s="88"/>
    </row>
    <row r="125" spans="1:19" ht="15.95" customHeight="1" x14ac:dyDescent="0.25">
      <c r="A125" s="42" t="s">
        <v>211</v>
      </c>
      <c r="B125" s="109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44"/>
      <c r="M125" s="44"/>
      <c r="N125" s="44"/>
      <c r="O125" s="44"/>
      <c r="P125" s="28">
        <f t="shared" si="10"/>
        <v>10000</v>
      </c>
      <c r="Q125" s="28"/>
      <c r="R125" s="28">
        <f t="shared" si="11"/>
        <v>10000</v>
      </c>
      <c r="S125" s="88">
        <f>Q125/$Q$144</f>
        <v>0</v>
      </c>
    </row>
    <row r="126" spans="1:19" ht="15.95" customHeight="1" x14ac:dyDescent="0.25">
      <c r="A126" s="42" t="s">
        <v>80</v>
      </c>
      <c r="B126" s="109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44"/>
      <c r="M126" s="44"/>
      <c r="N126" s="44"/>
      <c r="O126" s="44"/>
      <c r="P126" s="28">
        <f t="shared" si="10"/>
        <v>0</v>
      </c>
      <c r="Q126" s="28"/>
      <c r="R126" s="28">
        <f t="shared" si="11"/>
        <v>0</v>
      </c>
      <c r="S126" s="88">
        <f>Q126/$Q$144</f>
        <v>0</v>
      </c>
    </row>
    <row r="127" spans="1:19" ht="15.95" customHeight="1" x14ac:dyDescent="0.25">
      <c r="A127" s="42" t="s">
        <v>214</v>
      </c>
      <c r="B127" s="109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44"/>
      <c r="M127" s="44"/>
      <c r="N127" s="44"/>
      <c r="O127" s="44"/>
      <c r="P127" s="28">
        <f t="shared" si="10"/>
        <v>304035</v>
      </c>
      <c r="Q127" s="28"/>
      <c r="R127" s="28">
        <f t="shared" si="11"/>
        <v>304035</v>
      </c>
      <c r="S127" s="88">
        <f>Q127/$Q$144</f>
        <v>0</v>
      </c>
    </row>
    <row r="128" spans="1:19" ht="15.95" customHeight="1" x14ac:dyDescent="0.25">
      <c r="A128" s="42">
        <v>325</v>
      </c>
      <c r="B128" s="109" t="s">
        <v>268</v>
      </c>
      <c r="C128" s="44"/>
      <c r="D128" s="28"/>
      <c r="E128" s="28"/>
      <c r="F128" s="44"/>
      <c r="G128" s="44"/>
      <c r="H128" s="28">
        <v>25000</v>
      </c>
      <c r="I128" s="28"/>
      <c r="J128" s="44"/>
      <c r="K128" s="44"/>
      <c r="L128" s="44"/>
      <c r="M128" s="44"/>
      <c r="N128" s="44"/>
      <c r="O128" s="44"/>
      <c r="P128" s="28">
        <f t="shared" si="10"/>
        <v>25000</v>
      </c>
      <c r="Q128" s="28">
        <f>+'[1]EGR OCTUBRE 2024'!$Q$93</f>
        <v>11490</v>
      </c>
      <c r="R128" s="28">
        <f t="shared" si="11"/>
        <v>13510</v>
      </c>
      <c r="S128" s="88">
        <f>Q128/$Q$144</f>
        <v>1.7230173001493976E-3</v>
      </c>
    </row>
    <row r="129" spans="1:19" ht="15.95" customHeight="1" x14ac:dyDescent="0.25">
      <c r="A129" s="42" t="s">
        <v>216</v>
      </c>
      <c r="B129" s="109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44"/>
      <c r="M129" s="44"/>
      <c r="N129" s="44"/>
      <c r="O129" s="44"/>
      <c r="P129" s="28">
        <f t="shared" si="10"/>
        <v>1500</v>
      </c>
      <c r="Q129" s="28">
        <f>+'[1]EGR OCTUBRE 2024'!$Q$94</f>
        <v>1060.02</v>
      </c>
      <c r="R129" s="28">
        <f t="shared" si="11"/>
        <v>439.98</v>
      </c>
      <c r="S129" s="88">
        <f>Q129/$Q$144</f>
        <v>1.5895846810307784E-4</v>
      </c>
    </row>
    <row r="130" spans="1:19" ht="15.95" customHeight="1" x14ac:dyDescent="0.25">
      <c r="A130" s="42">
        <v>328</v>
      </c>
      <c r="B130" s="109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44"/>
      <c r="M130" s="44"/>
      <c r="N130" s="44"/>
      <c r="O130" s="44"/>
      <c r="P130" s="28">
        <f t="shared" si="10"/>
        <v>40000</v>
      </c>
      <c r="Q130" s="28">
        <f>+'[1]EGR OCTUBRE 2024'!$Q$95</f>
        <v>6945</v>
      </c>
      <c r="R130" s="28">
        <f t="shared" si="11"/>
        <v>33055</v>
      </c>
      <c r="S130" s="88">
        <f>+Q130/Q144</f>
        <v>1.0414582375576646E-3</v>
      </c>
    </row>
    <row r="131" spans="1:19" ht="15.95" customHeight="1" x14ac:dyDescent="0.25">
      <c r="A131" s="42" t="s">
        <v>218</v>
      </c>
      <c r="B131" s="109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44"/>
      <c r="M131" s="44"/>
      <c r="N131" s="44"/>
      <c r="O131" s="44"/>
      <c r="P131" s="28">
        <f t="shared" si="10"/>
        <v>14300</v>
      </c>
      <c r="Q131" s="28">
        <f>+'[1]EGR OCTUBRE 2024'!$Q$96</f>
        <v>5125</v>
      </c>
      <c r="R131" s="28">
        <f t="shared" si="11"/>
        <v>9175</v>
      </c>
      <c r="S131" s="88">
        <f>Q131/$Q$144</f>
        <v>7.6853469654183319E-4</v>
      </c>
    </row>
    <row r="132" spans="1:19" ht="15.95" hidden="1" customHeight="1" x14ac:dyDescent="0.25">
      <c r="A132" s="42" t="s">
        <v>220</v>
      </c>
      <c r="B132" s="109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44"/>
      <c r="M132" s="44"/>
      <c r="N132" s="44"/>
      <c r="O132" s="44"/>
      <c r="P132" s="28">
        <f t="shared" si="10"/>
        <v>0</v>
      </c>
      <c r="Q132" s="28"/>
      <c r="R132" s="28">
        <f t="shared" si="11"/>
        <v>0</v>
      </c>
      <c r="S132" s="88">
        <f>Q132/$Q$144</f>
        <v>0</v>
      </c>
    </row>
    <row r="133" spans="1:19" ht="15.95" customHeight="1" x14ac:dyDescent="0.25">
      <c r="A133" s="42"/>
      <c r="B133" s="109"/>
      <c r="C133" s="44"/>
      <c r="D133" s="28"/>
      <c r="E133" s="28"/>
      <c r="F133" s="44"/>
      <c r="G133" s="44"/>
      <c r="H133" s="28"/>
      <c r="I133" s="28"/>
      <c r="J133" s="44"/>
      <c r="K133" s="44"/>
      <c r="L133" s="44"/>
      <c r="M133" s="44"/>
      <c r="N133" s="44"/>
      <c r="O133" s="44"/>
      <c r="P133" s="28">
        <f t="shared" si="10"/>
        <v>0</v>
      </c>
      <c r="Q133" s="28"/>
      <c r="R133" s="28"/>
      <c r="S133" s="88"/>
    </row>
    <row r="134" spans="1:19" ht="15.95" customHeight="1" x14ac:dyDescent="0.25">
      <c r="A134" s="41"/>
      <c r="B134" s="100"/>
      <c r="C134" s="28"/>
      <c r="D134" s="28"/>
      <c r="E134" s="28"/>
      <c r="F134" s="44"/>
      <c r="G134" s="44"/>
      <c r="H134" s="28"/>
      <c r="I134" s="28"/>
      <c r="J134" s="44"/>
      <c r="K134" s="44"/>
      <c r="L134" s="44"/>
      <c r="M134" s="44"/>
      <c r="N134" s="44"/>
      <c r="O134" s="44"/>
      <c r="P134" s="28">
        <f t="shared" si="10"/>
        <v>0</v>
      </c>
      <c r="Q134" s="28"/>
      <c r="R134" s="28"/>
      <c r="S134" s="88"/>
    </row>
    <row r="135" spans="1:19" ht="15.95" customHeight="1" x14ac:dyDescent="0.25">
      <c r="A135" s="39">
        <v>4</v>
      </c>
      <c r="B135" s="108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44"/>
      <c r="M135" s="44"/>
      <c r="N135" s="44"/>
      <c r="O135" s="44"/>
      <c r="P135" s="28">
        <f t="shared" si="10"/>
        <v>0</v>
      </c>
      <c r="Q135" s="28"/>
      <c r="R135" s="28"/>
      <c r="S135" s="88"/>
    </row>
    <row r="136" spans="1:19" ht="15.95" customHeight="1" x14ac:dyDescent="0.25">
      <c r="A136" s="41" t="s">
        <v>222</v>
      </c>
      <c r="B136" s="100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44"/>
      <c r="M136" s="44"/>
      <c r="N136" s="44"/>
      <c r="O136" s="44">
        <v>855</v>
      </c>
      <c r="P136" s="28">
        <f t="shared" si="10"/>
        <v>185045</v>
      </c>
      <c r="Q136" s="28">
        <f>+'[1]EGR OCTUBRE 2024'!$Q$98</f>
        <v>41784.97</v>
      </c>
      <c r="R136" s="28">
        <f t="shared" si="11"/>
        <v>143260.03</v>
      </c>
      <c r="S136" s="88">
        <f>Q136/$Q$144</f>
        <v>6.2659900954067519E-3</v>
      </c>
    </row>
    <row r="137" spans="1:19" ht="15.95" customHeight="1" x14ac:dyDescent="0.25">
      <c r="A137" s="41" t="s">
        <v>223</v>
      </c>
      <c r="B137" s="100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44"/>
      <c r="M137" s="44"/>
      <c r="N137" s="44">
        <v>855</v>
      </c>
      <c r="O137" s="44"/>
      <c r="P137" s="28">
        <f t="shared" si="10"/>
        <v>8025</v>
      </c>
      <c r="Q137" s="28">
        <f>+'[1]EGR OCTUBRE 2024'!$Q$99</f>
        <v>8025</v>
      </c>
      <c r="R137" s="28">
        <f t="shared" si="11"/>
        <v>0</v>
      </c>
      <c r="S137" s="88">
        <f>Q137/$Q$144</f>
        <v>1.2034128662923339E-3</v>
      </c>
    </row>
    <row r="138" spans="1:19" ht="15.95" customHeight="1" x14ac:dyDescent="0.25">
      <c r="A138" s="41" t="s">
        <v>225</v>
      </c>
      <c r="B138" s="100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44"/>
      <c r="M138" s="44"/>
      <c r="N138" s="44"/>
      <c r="O138" s="44">
        <v>30000</v>
      </c>
      <c r="P138" s="28">
        <f t="shared" si="10"/>
        <v>40000</v>
      </c>
      <c r="Q138" s="28">
        <f>+'[1]EGR OCTUBRE 2024'!$Q$100</f>
        <v>2500</v>
      </c>
      <c r="R138" s="28">
        <f t="shared" si="11"/>
        <v>37500</v>
      </c>
      <c r="S138" s="88">
        <f>Q138/$Q$144</f>
        <v>3.7489497392284544E-4</v>
      </c>
    </row>
    <row r="139" spans="1:19" ht="33" customHeight="1" x14ac:dyDescent="0.25">
      <c r="A139" s="41">
        <v>453</v>
      </c>
      <c r="B139" s="100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44"/>
      <c r="M139" s="44"/>
      <c r="N139" s="44"/>
      <c r="O139" s="44"/>
      <c r="P139" s="28">
        <f t="shared" si="10"/>
        <v>120000</v>
      </c>
      <c r="Q139" s="28">
        <f>+'[1]EGR OCTUBRE 2024'!$Q$101</f>
        <v>118168.58</v>
      </c>
      <c r="R139" s="28">
        <f t="shared" si="11"/>
        <v>1831.4199999999983</v>
      </c>
      <c r="S139" s="88"/>
    </row>
    <row r="140" spans="1:19" ht="33" customHeigh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44"/>
      <c r="M140" s="44"/>
      <c r="N140" s="44">
        <v>30000</v>
      </c>
      <c r="O140" s="44"/>
      <c r="P140" s="28">
        <f t="shared" si="10"/>
        <v>38750</v>
      </c>
      <c r="Q140" s="28">
        <f>+'[1]EGR OCTUBRE 2024'!$Q$102</f>
        <v>1937.01</v>
      </c>
      <c r="R140" s="28">
        <f>P140-Q140</f>
        <v>36812.99</v>
      </c>
      <c r="S140" s="88">
        <f>Q140/$Q$144</f>
        <v>2.9047012537531633E-4</v>
      </c>
    </row>
    <row r="141" spans="1:19" ht="15.95" customHeight="1" x14ac:dyDescent="0.25">
      <c r="A141" s="41"/>
      <c r="B141" s="100"/>
      <c r="C141" s="28"/>
      <c r="D141" s="28"/>
      <c r="E141" s="28"/>
      <c r="F141" s="28"/>
      <c r="G141" s="28"/>
      <c r="H141" s="28"/>
      <c r="I141" s="28"/>
      <c r="J141" s="44"/>
      <c r="K141" s="44"/>
      <c r="L141" s="44"/>
      <c r="M141" s="44"/>
      <c r="N141" s="44"/>
      <c r="O141" s="44"/>
      <c r="P141" s="28">
        <f t="shared" si="10"/>
        <v>0</v>
      </c>
      <c r="Q141" s="28"/>
      <c r="R141" s="28"/>
      <c r="S141" s="88"/>
    </row>
    <row r="142" spans="1:19" ht="15.95" customHeight="1" x14ac:dyDescent="0.25">
      <c r="A142" s="39">
        <v>9</v>
      </c>
      <c r="B142" s="108" t="s">
        <v>278</v>
      </c>
      <c r="C142" s="28"/>
      <c r="D142" s="28"/>
      <c r="E142" s="28"/>
      <c r="F142" s="28"/>
      <c r="G142" s="28"/>
      <c r="H142" s="28"/>
      <c r="I142" s="28"/>
      <c r="J142" s="44"/>
      <c r="K142" s="44"/>
      <c r="L142" s="44"/>
      <c r="M142" s="44"/>
      <c r="N142" s="44"/>
      <c r="O142" s="44"/>
      <c r="P142" s="28">
        <f t="shared" si="10"/>
        <v>0</v>
      </c>
      <c r="Q142" s="28"/>
      <c r="R142" s="28"/>
      <c r="S142" s="88"/>
    </row>
    <row r="143" spans="1:19" ht="15.95" customHeight="1" thickBot="1" x14ac:dyDescent="0.3">
      <c r="A143" s="41">
        <v>913</v>
      </c>
      <c r="B143" s="100" t="s">
        <v>277</v>
      </c>
      <c r="C143" s="28"/>
      <c r="D143" s="28"/>
      <c r="E143" s="28"/>
      <c r="F143" s="44"/>
      <c r="G143" s="44"/>
      <c r="H143" s="28"/>
      <c r="I143" s="28"/>
      <c r="J143" s="44"/>
      <c r="K143" s="44"/>
      <c r="L143" s="44"/>
      <c r="M143" s="44"/>
      <c r="N143" s="44">
        <v>300000</v>
      </c>
      <c r="O143" s="44"/>
      <c r="P143" s="28">
        <f t="shared" si="10"/>
        <v>300000</v>
      </c>
      <c r="Q143" s="28">
        <f>+'[1]EGR OCTUBRE 2024'!$Q$103</f>
        <v>0</v>
      </c>
      <c r="R143" s="28">
        <f>P143-Q143</f>
        <v>300000</v>
      </c>
      <c r="S143" s="88">
        <f>Q143/$Q$144</f>
        <v>0</v>
      </c>
    </row>
    <row r="144" spans="1:19" ht="18" customHeight="1" thickBot="1" x14ac:dyDescent="0.3">
      <c r="A144" s="32"/>
      <c r="B144" s="106" t="s">
        <v>90</v>
      </c>
      <c r="C144" s="34">
        <f t="shared" ref="C144:R144" si="12">SUM(C31:C143)</f>
        <v>8258523.6200000001</v>
      </c>
      <c r="D144" s="34">
        <f t="shared" si="12"/>
        <v>0</v>
      </c>
      <c r="E144" s="34">
        <f t="shared" si="12"/>
        <v>0</v>
      </c>
      <c r="F144" s="34">
        <f t="shared" si="12"/>
        <v>584600</v>
      </c>
      <c r="G144" s="34">
        <f t="shared" si="12"/>
        <v>584600</v>
      </c>
      <c r="H144" s="34">
        <f t="shared" si="12"/>
        <v>2655496.71</v>
      </c>
      <c r="I144" s="34">
        <f t="shared" si="12"/>
        <v>0</v>
      </c>
      <c r="J144" s="64">
        <f t="shared" si="12"/>
        <v>137000</v>
      </c>
      <c r="K144" s="64">
        <f t="shared" si="12"/>
        <v>137000</v>
      </c>
      <c r="L144" s="64">
        <f t="shared" si="12"/>
        <v>110000</v>
      </c>
      <c r="M144" s="64">
        <f t="shared" si="12"/>
        <v>110000</v>
      </c>
      <c r="N144" s="64">
        <f>SUM(N31:N143)</f>
        <v>1227591.97</v>
      </c>
      <c r="O144" s="64">
        <f>SUM(O31:O143)</f>
        <v>367955</v>
      </c>
      <c r="P144" s="34">
        <f t="shared" si="12"/>
        <v>11773657.299999999</v>
      </c>
      <c r="Q144" s="34">
        <f t="shared" si="12"/>
        <v>6668534.3200000003</v>
      </c>
      <c r="R144" s="34">
        <f t="shared" si="12"/>
        <v>5105122.9800000014</v>
      </c>
      <c r="S144" s="45">
        <v>1</v>
      </c>
    </row>
    <row r="145" spans="1:22" x14ac:dyDescent="0.2">
      <c r="A145" s="46"/>
      <c r="B145" s="110"/>
      <c r="C145" s="77"/>
      <c r="D145" s="76"/>
      <c r="E145" s="47"/>
      <c r="F145" s="47"/>
      <c r="G145" s="47"/>
      <c r="H145" s="47"/>
      <c r="I145" s="47"/>
      <c r="J145" s="65"/>
      <c r="K145" s="65"/>
      <c r="L145" s="65"/>
      <c r="M145" s="65"/>
      <c r="N145" s="65"/>
      <c r="O145" s="65"/>
      <c r="P145" s="47">
        <f>+P144-P26</f>
        <v>0</v>
      </c>
      <c r="Q145" s="47"/>
      <c r="R145" s="47"/>
      <c r="U145" s="65"/>
      <c r="V145" s="65"/>
    </row>
    <row r="146" spans="1:22" ht="15.75" thickBot="1" x14ac:dyDescent="0.25">
      <c r="E146" s="12"/>
      <c r="F146" s="4"/>
      <c r="P146" s="14"/>
      <c r="Q146" s="4"/>
      <c r="U146" s="66"/>
    </row>
    <row r="147" spans="1:22" ht="15.75" x14ac:dyDescent="0.25">
      <c r="A147" s="1" t="s">
        <v>83</v>
      </c>
      <c r="B147" s="112"/>
      <c r="C147" s="3"/>
      <c r="D147" s="4"/>
      <c r="E147" s="4"/>
      <c r="F147" s="4"/>
      <c r="G147" s="4"/>
      <c r="H147" s="4"/>
      <c r="I147" s="4"/>
      <c r="J147" s="66"/>
      <c r="K147" s="66"/>
      <c r="L147" s="66"/>
      <c r="M147" s="66"/>
      <c r="N147" s="66"/>
      <c r="O147" s="66"/>
      <c r="P147" s="4"/>
      <c r="Q147" s="4"/>
      <c r="U147" s="66"/>
      <c r="V147" s="66"/>
    </row>
    <row r="148" spans="1:22" ht="15.75" x14ac:dyDescent="0.25">
      <c r="A148" s="5" t="s">
        <v>2</v>
      </c>
      <c r="B148" s="101"/>
      <c r="C148" s="7"/>
      <c r="D148" s="4"/>
      <c r="E148" s="4"/>
      <c r="F148" s="4"/>
      <c r="G148" s="4"/>
      <c r="H148" s="4"/>
      <c r="I148" s="4"/>
      <c r="J148" s="66"/>
      <c r="K148" s="66"/>
      <c r="L148" s="66"/>
      <c r="M148" s="66"/>
      <c r="N148" s="66"/>
      <c r="O148" s="66"/>
      <c r="P148" s="4"/>
      <c r="Q148" s="4"/>
      <c r="U148" s="66"/>
      <c r="V148" s="66"/>
    </row>
    <row r="149" spans="1:22" ht="5.0999999999999996" customHeight="1" thickBot="1" x14ac:dyDescent="0.25">
      <c r="A149" s="8"/>
      <c r="B149" s="113"/>
      <c r="C149" s="10"/>
      <c r="D149" s="4"/>
      <c r="E149" s="4"/>
      <c r="F149" s="4"/>
      <c r="G149" s="4"/>
      <c r="H149" s="4"/>
      <c r="I149" s="4"/>
      <c r="J149" s="66"/>
      <c r="K149" s="66"/>
      <c r="L149" s="66"/>
      <c r="M149" s="66"/>
      <c r="N149" s="66"/>
      <c r="O149" s="66"/>
      <c r="P149" s="4"/>
      <c r="Q149" s="4"/>
      <c r="U149" s="66"/>
      <c r="V149" s="66"/>
    </row>
    <row r="150" spans="1:22" ht="6.95" customHeight="1" x14ac:dyDescent="0.2">
      <c r="A150" s="48"/>
      <c r="B150" s="114"/>
      <c r="C150" s="50"/>
      <c r="D150" s="4"/>
      <c r="E150" s="4"/>
      <c r="F150" s="4"/>
      <c r="G150" s="4"/>
      <c r="H150" s="4"/>
      <c r="I150" s="4"/>
      <c r="J150" s="66"/>
      <c r="K150" s="66"/>
      <c r="L150" s="66"/>
      <c r="M150" s="66"/>
      <c r="N150" s="66"/>
      <c r="O150" s="66"/>
      <c r="P150" s="4"/>
      <c r="Q150" s="4"/>
      <c r="U150" s="66"/>
      <c r="V150" s="66"/>
    </row>
    <row r="151" spans="1:22" x14ac:dyDescent="0.2">
      <c r="A151" s="51" t="s">
        <v>84</v>
      </c>
      <c r="B151" s="115"/>
      <c r="C151" s="53"/>
      <c r="D151" s="4"/>
      <c r="E151" s="4"/>
      <c r="F151" s="4"/>
      <c r="G151" s="4"/>
      <c r="H151" s="4"/>
      <c r="I151" s="4"/>
      <c r="J151" s="66"/>
      <c r="K151" s="66"/>
      <c r="L151" s="66"/>
      <c r="M151" s="66"/>
      <c r="N151" s="66"/>
      <c r="O151" s="66"/>
      <c r="P151" s="4"/>
      <c r="U151" s="66"/>
      <c r="V151" s="66"/>
    </row>
    <row r="152" spans="1:22" x14ac:dyDescent="0.2">
      <c r="A152" s="54" t="s">
        <v>257</v>
      </c>
      <c r="B152" s="115"/>
      <c r="C152" s="69">
        <v>1808838.07</v>
      </c>
      <c r="D152" s="47"/>
      <c r="E152" s="4"/>
      <c r="F152" s="4"/>
      <c r="G152" s="4"/>
      <c r="H152" s="4"/>
      <c r="I152" s="4"/>
      <c r="J152" s="66"/>
      <c r="K152" s="66"/>
      <c r="L152" s="66"/>
      <c r="M152" s="66"/>
      <c r="N152" s="66"/>
      <c r="O152" s="66"/>
      <c r="P152" s="4"/>
      <c r="U152" s="66"/>
      <c r="V152" s="66"/>
    </row>
    <row r="153" spans="1:22" x14ac:dyDescent="0.2">
      <c r="A153" s="54" t="s">
        <v>258</v>
      </c>
      <c r="B153" s="115"/>
      <c r="C153" s="69">
        <v>-22528.77</v>
      </c>
      <c r="D153" s="47"/>
      <c r="E153" s="4"/>
      <c r="F153" s="4"/>
      <c r="G153" s="4"/>
      <c r="H153" s="4"/>
      <c r="I153" s="4"/>
      <c r="J153" s="66"/>
      <c r="K153" s="66"/>
      <c r="L153" s="66"/>
      <c r="M153" s="66"/>
      <c r="N153" s="66"/>
      <c r="O153" s="66"/>
      <c r="P153" s="4"/>
      <c r="U153" s="66"/>
      <c r="V153" s="66"/>
    </row>
    <row r="154" spans="1:22" x14ac:dyDescent="0.2">
      <c r="A154" s="54"/>
      <c r="B154" s="115"/>
      <c r="C154" s="69"/>
      <c r="D154" s="47"/>
      <c r="E154" s="4"/>
      <c r="F154" s="4"/>
      <c r="G154" s="4"/>
      <c r="H154" s="4"/>
      <c r="I154" s="4"/>
      <c r="J154" s="66"/>
      <c r="K154" s="66"/>
      <c r="L154" s="66"/>
      <c r="M154" s="66"/>
      <c r="N154" s="66"/>
      <c r="O154" s="66"/>
      <c r="P154" s="4"/>
      <c r="U154" s="66"/>
      <c r="V154" s="66"/>
    </row>
    <row r="155" spans="1:22" x14ac:dyDescent="0.2">
      <c r="A155" s="83"/>
      <c r="B155" s="115"/>
      <c r="C155" s="69"/>
      <c r="D155" s="47"/>
      <c r="E155" s="4"/>
      <c r="F155" s="4"/>
      <c r="G155" s="4"/>
      <c r="H155" s="4"/>
      <c r="I155" s="4"/>
      <c r="J155" s="66"/>
      <c r="K155" s="66"/>
      <c r="L155" s="66"/>
      <c r="M155" s="66"/>
      <c r="N155" s="66"/>
      <c r="O155" s="66"/>
      <c r="P155" s="4"/>
      <c r="U155" s="66"/>
      <c r="V155" s="66"/>
    </row>
    <row r="156" spans="1:22" x14ac:dyDescent="0.2">
      <c r="A156" s="83" t="s">
        <v>259</v>
      </c>
      <c r="B156" s="115"/>
      <c r="C156" s="69">
        <f>1174639.32+309594.02-600</f>
        <v>1483633.34</v>
      </c>
      <c r="D156" s="47"/>
      <c r="E156" s="4"/>
      <c r="F156" s="4"/>
      <c r="G156" s="4"/>
      <c r="H156" s="4"/>
      <c r="I156" s="4"/>
      <c r="J156" s="66"/>
      <c r="K156" s="66"/>
      <c r="L156" s="66"/>
      <c r="M156" s="66"/>
      <c r="N156" s="66"/>
      <c r="O156" s="66"/>
      <c r="P156" s="4"/>
      <c r="U156" s="66"/>
      <c r="V156" s="66"/>
    </row>
    <row r="157" spans="1:22" x14ac:dyDescent="0.2">
      <c r="A157" s="54" t="s">
        <v>85</v>
      </c>
      <c r="B157" s="115"/>
      <c r="C157" s="69">
        <f>Q26</f>
        <v>6882510.6899999995</v>
      </c>
      <c r="D157" s="47"/>
      <c r="E157" s="4"/>
      <c r="F157" s="4"/>
      <c r="G157" s="4"/>
      <c r="H157" s="4"/>
      <c r="I157" s="4"/>
      <c r="J157" s="66"/>
      <c r="K157" s="66"/>
      <c r="L157" s="66"/>
      <c r="M157" s="66"/>
      <c r="N157" s="66"/>
      <c r="O157" s="66"/>
      <c r="P157" s="4"/>
      <c r="U157" s="66"/>
      <c r="V157" s="66"/>
    </row>
    <row r="158" spans="1:22" x14ac:dyDescent="0.2">
      <c r="A158" s="54" t="s">
        <v>86</v>
      </c>
      <c r="B158" s="115"/>
      <c r="C158" s="70">
        <f>-Q144</f>
        <v>-6668534.3200000003</v>
      </c>
      <c r="D158" s="4"/>
      <c r="E158" s="4"/>
      <c r="F158" s="4"/>
      <c r="G158" s="4"/>
      <c r="H158" s="4"/>
      <c r="I158" s="4"/>
      <c r="J158" s="66"/>
      <c r="K158" s="66"/>
      <c r="L158" s="66"/>
      <c r="M158" s="66"/>
      <c r="N158" s="66"/>
      <c r="O158" s="66"/>
      <c r="P158" s="4"/>
      <c r="U158" s="66"/>
      <c r="V158" s="66"/>
    </row>
    <row r="159" spans="1:22" ht="15.75" x14ac:dyDescent="0.25">
      <c r="A159" s="55" t="s">
        <v>87</v>
      </c>
      <c r="B159" s="116"/>
      <c r="C159" s="71">
        <f>SUM(C152:C158)</f>
        <v>3483919.01</v>
      </c>
      <c r="D159" s="4"/>
      <c r="E159" s="4"/>
      <c r="F159" s="4"/>
      <c r="G159" s="4"/>
      <c r="H159" s="4"/>
      <c r="I159" s="4"/>
      <c r="J159" s="66"/>
      <c r="K159" s="66"/>
      <c r="L159" s="66"/>
      <c r="M159" s="66"/>
      <c r="N159" s="66"/>
      <c r="O159" s="66"/>
      <c r="P159" s="4"/>
      <c r="U159" s="66"/>
      <c r="V159" s="66"/>
    </row>
    <row r="160" spans="1:22" ht="15.75" x14ac:dyDescent="0.25">
      <c r="A160" s="55"/>
      <c r="B160" s="116"/>
      <c r="C160" s="71"/>
      <c r="D160" s="4"/>
      <c r="E160" s="4"/>
      <c r="F160" s="4"/>
      <c r="G160" s="4"/>
      <c r="H160" s="4"/>
      <c r="I160" s="4"/>
      <c r="J160" s="66"/>
      <c r="K160" s="66"/>
      <c r="L160" s="66"/>
      <c r="M160" s="66"/>
      <c r="N160" s="66"/>
      <c r="O160" s="66"/>
      <c r="P160" s="4"/>
      <c r="U160" s="66"/>
      <c r="V160" s="66"/>
    </row>
    <row r="161" spans="1:22" x14ac:dyDescent="0.2">
      <c r="A161" s="51" t="s">
        <v>88</v>
      </c>
      <c r="B161" s="115"/>
      <c r="C161" s="69"/>
      <c r="D161" s="4"/>
      <c r="E161" s="4"/>
      <c r="F161" s="4"/>
      <c r="G161" s="4"/>
      <c r="H161" s="4"/>
      <c r="I161" s="4"/>
      <c r="J161" s="66"/>
      <c r="K161" s="66"/>
      <c r="L161" s="66"/>
      <c r="M161" s="66"/>
      <c r="N161" s="66"/>
      <c r="O161" s="66"/>
      <c r="P161" s="4"/>
      <c r="U161" s="66"/>
      <c r="V161" s="66"/>
    </row>
    <row r="162" spans="1:22" ht="12" customHeight="1" x14ac:dyDescent="0.2">
      <c r="A162" s="54" t="s">
        <v>147</v>
      </c>
      <c r="B162" s="115"/>
      <c r="C162" s="69">
        <v>276.89999999999998</v>
      </c>
      <c r="D162" s="4"/>
      <c r="E162" s="4"/>
      <c r="F162" s="4"/>
      <c r="G162" s="4"/>
      <c r="H162" s="4"/>
      <c r="I162" s="4"/>
      <c r="J162" s="66"/>
      <c r="K162" s="66"/>
      <c r="L162" s="66"/>
      <c r="M162" s="66"/>
      <c r="N162" s="66"/>
      <c r="O162" s="66"/>
      <c r="P162" s="4"/>
      <c r="U162" s="66"/>
      <c r="V162" s="66"/>
    </row>
    <row r="163" spans="1:22" ht="12" customHeight="1" x14ac:dyDescent="0.2">
      <c r="A163" s="54" t="s">
        <v>241</v>
      </c>
      <c r="B163" s="115"/>
      <c r="C163" s="69">
        <v>825</v>
      </c>
      <c r="D163" s="4"/>
      <c r="E163" s="4"/>
      <c r="F163" s="4"/>
      <c r="G163" s="4"/>
      <c r="H163" s="4"/>
      <c r="I163" s="4"/>
      <c r="J163" s="66"/>
      <c r="K163" s="66"/>
      <c r="L163" s="66"/>
      <c r="M163" s="66"/>
      <c r="N163" s="66"/>
      <c r="O163" s="66"/>
      <c r="P163" s="4"/>
      <c r="U163" s="66"/>
      <c r="V163" s="66"/>
    </row>
    <row r="164" spans="1:22" ht="12" customHeight="1" x14ac:dyDescent="0.2">
      <c r="A164" s="54" t="s">
        <v>248</v>
      </c>
      <c r="B164" s="115"/>
      <c r="C164" s="69"/>
      <c r="D164" s="4"/>
      <c r="E164" s="4"/>
      <c r="F164" s="4"/>
      <c r="G164" s="4"/>
      <c r="H164" s="4"/>
      <c r="I164" s="4"/>
      <c r="J164" s="66"/>
      <c r="K164" s="66"/>
      <c r="L164" s="66"/>
      <c r="M164" s="66"/>
      <c r="N164" s="66"/>
      <c r="O164" s="66"/>
      <c r="P164" s="4"/>
      <c r="U164" s="66"/>
      <c r="V164" s="66"/>
    </row>
    <row r="165" spans="1:22" x14ac:dyDescent="0.2">
      <c r="A165" s="54" t="s">
        <v>150</v>
      </c>
      <c r="B165" s="115"/>
      <c r="C165" s="69">
        <v>11545.52</v>
      </c>
      <c r="D165" s="79"/>
      <c r="E165" s="4"/>
      <c r="F165" s="4"/>
      <c r="G165" s="4"/>
      <c r="H165" s="4"/>
      <c r="I165" s="4"/>
      <c r="J165" s="66"/>
      <c r="K165" s="66"/>
      <c r="L165" s="66"/>
      <c r="M165" s="66"/>
      <c r="N165" s="66"/>
      <c r="O165" s="66"/>
      <c r="P165" s="4"/>
      <c r="U165" s="66"/>
      <c r="V165" s="66"/>
    </row>
    <row r="166" spans="1:22" x14ac:dyDescent="0.2">
      <c r="A166" s="54" t="s">
        <v>149</v>
      </c>
      <c r="B166" s="115"/>
      <c r="C166" s="69">
        <v>10011.469999999999</v>
      </c>
      <c r="D166" s="80"/>
      <c r="E166" s="4"/>
      <c r="F166" s="4"/>
      <c r="G166" s="4"/>
      <c r="H166" s="4"/>
      <c r="I166" s="4"/>
      <c r="J166" s="66"/>
      <c r="K166" s="66"/>
      <c r="L166" s="66"/>
      <c r="M166" s="66"/>
      <c r="N166" s="66"/>
      <c r="O166" s="66"/>
      <c r="P166" s="4"/>
      <c r="U166" s="66"/>
      <c r="V166" s="66"/>
    </row>
    <row r="167" spans="1:22" x14ac:dyDescent="0.2">
      <c r="A167" s="54" t="s">
        <v>148</v>
      </c>
      <c r="B167" s="115"/>
      <c r="C167" s="69">
        <v>2087.9699999999998</v>
      </c>
      <c r="D167" s="80"/>
      <c r="E167" s="4"/>
      <c r="F167" s="4"/>
      <c r="G167" s="4"/>
      <c r="H167" s="4"/>
      <c r="I167" s="4"/>
      <c r="J167" s="66"/>
      <c r="K167" s="66"/>
      <c r="L167" s="66"/>
      <c r="M167" s="66"/>
      <c r="N167" s="66"/>
      <c r="O167" s="66"/>
      <c r="P167" s="4"/>
      <c r="U167" s="66"/>
      <c r="V167" s="66"/>
    </row>
    <row r="168" spans="1:22" x14ac:dyDescent="0.2">
      <c r="A168" s="54" t="s">
        <v>253</v>
      </c>
      <c r="B168" s="115"/>
      <c r="C168" s="69">
        <v>282.36</v>
      </c>
      <c r="D168" s="80"/>
      <c r="E168" s="4"/>
      <c r="F168" s="4"/>
      <c r="G168" s="4"/>
      <c r="H168" s="4"/>
      <c r="I168" s="4"/>
      <c r="J168" s="66"/>
      <c r="K168" s="66"/>
      <c r="L168" s="66"/>
      <c r="M168" s="66"/>
      <c r="N168" s="66"/>
      <c r="O168" s="66"/>
      <c r="P168" s="4"/>
      <c r="U168" s="66"/>
      <c r="V168" s="66"/>
    </row>
    <row r="169" spans="1:22" x14ac:dyDescent="0.2">
      <c r="A169" s="54"/>
      <c r="B169" s="115"/>
      <c r="C169" s="69"/>
      <c r="D169" s="80"/>
      <c r="E169" s="4"/>
      <c r="F169" s="4"/>
      <c r="G169" s="4"/>
      <c r="H169" s="4"/>
      <c r="I169" s="4"/>
      <c r="J169" s="66"/>
      <c r="K169" s="66"/>
      <c r="L169" s="66"/>
      <c r="M169" s="66"/>
      <c r="N169" s="66"/>
      <c r="O169" s="66"/>
      <c r="P169" s="4"/>
      <c r="U169" s="66"/>
      <c r="V169" s="66"/>
    </row>
    <row r="170" spans="1:22" x14ac:dyDescent="0.2">
      <c r="A170" s="54"/>
      <c r="B170" s="115"/>
      <c r="C170" s="70"/>
      <c r="D170" s="81"/>
      <c r="E170" s="82"/>
      <c r="F170" s="4">
        <f>SUM(C162:C168)</f>
        <v>25029.22</v>
      </c>
      <c r="G170" s="4"/>
      <c r="H170" s="4"/>
      <c r="I170" s="4"/>
      <c r="J170" s="66"/>
      <c r="K170" s="66"/>
      <c r="L170" s="66"/>
      <c r="M170" s="66"/>
      <c r="N170" s="66"/>
      <c r="O170" s="66"/>
      <c r="P170" s="4"/>
      <c r="U170" s="66"/>
      <c r="V170" s="66"/>
    </row>
    <row r="171" spans="1:22" ht="15.75" x14ac:dyDescent="0.25">
      <c r="A171" s="55"/>
      <c r="B171" s="116"/>
      <c r="C171" s="71">
        <f>SUM(C162:C170)</f>
        <v>25029.22</v>
      </c>
      <c r="D171" s="81"/>
      <c r="E171" s="82"/>
      <c r="F171" s="4">
        <v>32025.96</v>
      </c>
      <c r="G171" s="4">
        <f>+F171-C171</f>
        <v>6996.739999999998</v>
      </c>
      <c r="H171" s="4"/>
      <c r="I171" s="4"/>
      <c r="J171" s="66"/>
      <c r="K171" s="66"/>
      <c r="L171" s="66"/>
      <c r="M171" s="66"/>
      <c r="N171" s="66"/>
      <c r="O171" s="66"/>
      <c r="P171" s="4"/>
      <c r="U171" s="66"/>
      <c r="V171" s="66"/>
    </row>
    <row r="172" spans="1:22" ht="2.1" customHeight="1" x14ac:dyDescent="0.25">
      <c r="A172" s="55"/>
      <c r="B172" s="116"/>
      <c r="C172" s="72"/>
      <c r="D172" s="80"/>
      <c r="E172" s="4"/>
      <c r="F172" s="4"/>
      <c r="H172" s="4"/>
      <c r="I172" s="4"/>
      <c r="J172" s="66"/>
      <c r="K172" s="66"/>
      <c r="L172" s="66"/>
      <c r="M172" s="66"/>
      <c r="N172" s="66"/>
      <c r="O172" s="66"/>
      <c r="P172" s="4"/>
      <c r="U172" s="66"/>
      <c r="V172" s="66"/>
    </row>
    <row r="173" spans="1:22" x14ac:dyDescent="0.2">
      <c r="A173" s="54"/>
      <c r="B173" s="115"/>
      <c r="C173" s="69"/>
      <c r="D173" s="80"/>
      <c r="E173" s="4"/>
      <c r="F173" s="4"/>
      <c r="G173" s="4"/>
      <c r="H173" s="4"/>
      <c r="I173" s="4"/>
      <c r="J173" s="66"/>
      <c r="K173" s="66"/>
      <c r="L173" s="66"/>
      <c r="M173" s="66"/>
      <c r="N173" s="66"/>
      <c r="O173" s="66"/>
      <c r="P173" s="4"/>
      <c r="U173" s="66"/>
      <c r="V173" s="66"/>
    </row>
    <row r="174" spans="1:22" ht="2.1" customHeight="1" thickBot="1" x14ac:dyDescent="0.3">
      <c r="A174" s="57" t="s">
        <v>238</v>
      </c>
      <c r="B174" s="117"/>
      <c r="C174" s="68">
        <f>C159+C171</f>
        <v>3508948.23</v>
      </c>
      <c r="D174" s="79"/>
      <c r="E174" s="4"/>
      <c r="F174" s="4"/>
      <c r="G174" s="4"/>
      <c r="H174" s="4"/>
      <c r="I174" s="4"/>
      <c r="J174" s="66"/>
      <c r="K174" s="66"/>
      <c r="L174" s="66"/>
      <c r="M174" s="66"/>
      <c r="N174" s="66"/>
      <c r="O174" s="66"/>
      <c r="P174" s="4"/>
      <c r="U174" s="66"/>
      <c r="V174" s="66"/>
    </row>
    <row r="175" spans="1:22" ht="9.9499999999999993" customHeight="1" x14ac:dyDescent="0.2">
      <c r="A175" s="54"/>
      <c r="B175" s="115"/>
      <c r="C175" s="69"/>
      <c r="D175" s="79"/>
      <c r="E175" s="4"/>
      <c r="F175" s="4"/>
      <c r="G175" s="4"/>
      <c r="H175" s="4"/>
      <c r="I175" s="4"/>
      <c r="J175" s="66"/>
      <c r="K175" s="66"/>
      <c r="L175" s="66"/>
      <c r="M175" s="66"/>
      <c r="N175" s="66"/>
      <c r="O175" s="66"/>
      <c r="P175" s="4"/>
      <c r="U175" s="66"/>
      <c r="V175" s="66"/>
    </row>
    <row r="176" spans="1:22" ht="16.5" thickBot="1" x14ac:dyDescent="0.3">
      <c r="A176" s="57" t="s">
        <v>283</v>
      </c>
      <c r="B176" s="117"/>
      <c r="C176" s="68">
        <f>C159+C171</f>
        <v>3508948.23</v>
      </c>
      <c r="D176" s="81"/>
      <c r="E176" s="4"/>
      <c r="F176" s="4"/>
      <c r="G176" s="4">
        <v>8109.04</v>
      </c>
      <c r="H176" s="4"/>
      <c r="I176" s="69">
        <v>276.89999999999998</v>
      </c>
      <c r="J176" s="66"/>
      <c r="K176" s="66"/>
      <c r="L176" s="66"/>
      <c r="M176" s="66"/>
      <c r="N176" s="66"/>
      <c r="O176" s="66"/>
      <c r="P176" s="4"/>
      <c r="Q176" s="4"/>
      <c r="U176" s="66"/>
      <c r="V176" s="66"/>
    </row>
    <row r="177" spans="1:22" x14ac:dyDescent="0.2">
      <c r="A177" s="52"/>
      <c r="B177" s="118"/>
      <c r="C177" s="4"/>
      <c r="D177" s="4"/>
      <c r="E177" s="4"/>
      <c r="F177" s="4"/>
      <c r="G177" s="4">
        <f>+G171-G176</f>
        <v>-1112.300000000002</v>
      </c>
      <c r="H177" s="4"/>
      <c r="I177" s="4">
        <v>11545.52</v>
      </c>
      <c r="J177" s="66"/>
      <c r="K177" s="66"/>
      <c r="L177" s="66"/>
      <c r="M177" s="66"/>
      <c r="N177" s="66"/>
      <c r="O177" s="66"/>
      <c r="P177" s="4"/>
      <c r="U177" s="66"/>
      <c r="V177" s="66"/>
    </row>
    <row r="178" spans="1:22" x14ac:dyDescent="0.2">
      <c r="B178" s="118"/>
      <c r="C178" s="87"/>
      <c r="D178" s="4"/>
      <c r="E178" s="4"/>
      <c r="I178" s="11">
        <v>10011.469999999999</v>
      </c>
    </row>
    <row r="179" spans="1:22" x14ac:dyDescent="0.2">
      <c r="C179" s="13"/>
      <c r="D179" s="4"/>
      <c r="I179" s="11">
        <v>2087.9699999999998</v>
      </c>
    </row>
    <row r="180" spans="1:22" x14ac:dyDescent="0.2">
      <c r="C180" s="13"/>
      <c r="D180" s="4"/>
      <c r="I180" s="4">
        <f>SUM(I176:I179)</f>
        <v>23921.86</v>
      </c>
    </row>
    <row r="181" spans="1:22" x14ac:dyDescent="0.2">
      <c r="C181" s="14"/>
      <c r="D181" s="4"/>
      <c r="I181" s="4">
        <v>32025.96</v>
      </c>
      <c r="K181" s="66"/>
      <c r="M181" s="66"/>
      <c r="N181" s="66"/>
      <c r="O181" s="66"/>
      <c r="P181" s="4"/>
      <c r="V181" s="66"/>
    </row>
    <row r="182" spans="1:22" x14ac:dyDescent="0.2">
      <c r="C182" s="14"/>
      <c r="D182" s="4"/>
      <c r="I182" s="4">
        <f>+I180-I181</f>
        <v>-8104.0999999999985</v>
      </c>
      <c r="K182" s="66"/>
      <c r="M182" s="66"/>
      <c r="N182" s="66"/>
      <c r="O182" s="66"/>
      <c r="P182" s="4"/>
      <c r="V182" s="66"/>
    </row>
    <row r="183" spans="1:22" x14ac:dyDescent="0.2">
      <c r="C183" s="14"/>
      <c r="D183" s="4"/>
      <c r="I183" s="4"/>
      <c r="K183" s="66"/>
      <c r="M183" s="66"/>
      <c r="N183" s="66"/>
      <c r="O183" s="66"/>
      <c r="P183" s="4"/>
      <c r="V183" s="66"/>
    </row>
    <row r="184" spans="1:22" x14ac:dyDescent="0.2">
      <c r="C184" s="14"/>
      <c r="D184" s="4"/>
    </row>
    <row r="185" spans="1:22" x14ac:dyDescent="0.2">
      <c r="C185" s="14"/>
      <c r="D185" s="4"/>
    </row>
    <row r="186" spans="1:22" x14ac:dyDescent="0.2">
      <c r="C186" s="14"/>
      <c r="D186" s="4"/>
    </row>
    <row r="187" spans="1:22" x14ac:dyDescent="0.2">
      <c r="C187" s="14"/>
      <c r="D187" s="4"/>
    </row>
    <row r="188" spans="1:22" x14ac:dyDescent="0.2">
      <c r="D188" s="4"/>
    </row>
    <row r="189" spans="1:22" x14ac:dyDescent="0.2">
      <c r="D189" s="4"/>
    </row>
    <row r="190" spans="1:22" x14ac:dyDescent="0.2">
      <c r="B190" s="119" t="s">
        <v>254</v>
      </c>
      <c r="C190" s="85" t="s">
        <v>255</v>
      </c>
      <c r="E190" s="85"/>
      <c r="I190" s="84" t="s">
        <v>260</v>
      </c>
      <c r="J190" s="85"/>
      <c r="K190" s="74"/>
      <c r="M190" s="85" t="s">
        <v>279</v>
      </c>
      <c r="N190" s="85"/>
      <c r="O190" s="85"/>
      <c r="U190" s="85"/>
      <c r="V190" s="74"/>
    </row>
    <row r="191" spans="1:22" x14ac:dyDescent="0.2">
      <c r="B191" s="119" t="s">
        <v>89</v>
      </c>
      <c r="C191" s="85" t="s">
        <v>261</v>
      </c>
      <c r="E191" s="85"/>
      <c r="I191" s="84" t="s">
        <v>247</v>
      </c>
      <c r="J191" s="84"/>
      <c r="M191" s="84" t="s">
        <v>242</v>
      </c>
      <c r="N191" s="84"/>
      <c r="O191" s="84"/>
      <c r="U191" s="84"/>
    </row>
    <row r="195" spans="7:22" x14ac:dyDescent="0.2">
      <c r="I195" s="4"/>
      <c r="K195" s="66"/>
      <c r="M195" s="66"/>
      <c r="N195" s="66"/>
      <c r="O195" s="66"/>
      <c r="P195" s="4"/>
      <c r="V195" s="66"/>
    </row>
    <row r="196" spans="7:22" x14ac:dyDescent="0.2">
      <c r="I196" s="4"/>
      <c r="K196" s="66"/>
      <c r="M196" s="66"/>
      <c r="N196" s="66"/>
      <c r="O196" s="66"/>
      <c r="P196" s="4"/>
      <c r="V196" s="66"/>
    </row>
    <row r="197" spans="7:22" x14ac:dyDescent="0.2">
      <c r="G197" s="59"/>
      <c r="I197" s="59"/>
      <c r="K197" s="67"/>
      <c r="M197" s="67"/>
      <c r="N197" s="67"/>
      <c r="O197" s="67"/>
      <c r="P197" s="4"/>
      <c r="V197" s="67"/>
    </row>
    <row r="198" spans="7:22" x14ac:dyDescent="0.2">
      <c r="G198" s="59"/>
      <c r="I198" s="59"/>
      <c r="K198" s="67"/>
      <c r="M198" s="67"/>
      <c r="N198" s="67"/>
      <c r="O198" s="67"/>
      <c r="P198" s="4"/>
      <c r="V198" s="67"/>
    </row>
    <row r="199" spans="7:22" x14ac:dyDescent="0.2">
      <c r="G199" s="59"/>
      <c r="P199" s="4"/>
    </row>
    <row r="200" spans="7:22" x14ac:dyDescent="0.2">
      <c r="G200" s="59"/>
    </row>
    <row r="201" spans="7:22" x14ac:dyDescent="0.2">
      <c r="G201" s="59"/>
    </row>
    <row r="202" spans="7:22" x14ac:dyDescent="0.2">
      <c r="G202" s="59"/>
      <c r="P202" s="4"/>
    </row>
    <row r="203" spans="7:22" x14ac:dyDescent="0.2">
      <c r="G203" s="59"/>
    </row>
    <row r="204" spans="7:22" x14ac:dyDescent="0.2">
      <c r="G204" s="59"/>
    </row>
    <row r="205" spans="7:22" x14ac:dyDescent="0.2">
      <c r="G205" s="59"/>
    </row>
    <row r="206" spans="7:22" x14ac:dyDescent="0.2">
      <c r="G206" s="59"/>
    </row>
    <row r="207" spans="7:22" x14ac:dyDescent="0.2">
      <c r="G207" s="59"/>
    </row>
    <row r="208" spans="7:2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  <row r="213" spans="7:7" x14ac:dyDescent="0.2">
      <c r="G213" s="59"/>
    </row>
    <row r="214" spans="7:7" x14ac:dyDescent="0.2">
      <c r="G214" s="59"/>
    </row>
  </sheetData>
  <mergeCells count="6">
    <mergeCell ref="Q6:Q7"/>
    <mergeCell ref="B6:B7"/>
    <mergeCell ref="H6:I6"/>
    <mergeCell ref="J6:K6"/>
    <mergeCell ref="L6:M6"/>
    <mergeCell ref="N6:O6"/>
  </mergeCells>
  <pageMargins left="0.25" right="0.25" top="0.75" bottom="0.75" header="0.3" footer="0.3"/>
  <pageSetup scale="45" fitToHeight="0" orientation="landscape" horizontalDpi="4294967293" verticalDpi="300" r:id="rId1"/>
  <rowBreaks count="2" manualBreakCount="2">
    <brk id="56" max="16383" man="1"/>
    <brk id="12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E4834-5DFD-4D02-86B7-AB7D3E67A7AE}">
  <sheetPr>
    <pageSetUpPr fitToPage="1"/>
  </sheetPr>
  <dimension ref="A1:W215"/>
  <sheetViews>
    <sheetView zoomScaleNormal="100" workbookViewId="0">
      <pane xSplit="2" ySplit="7" topLeftCell="C146" activePane="bottomRight" state="frozen"/>
      <selection pane="topRight" activeCell="C1" sqref="C1"/>
      <selection pane="bottomLeft" activeCell="A8" sqref="A8"/>
      <selection pane="bottomRight" activeCell="C159" sqref="C159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hidden="1" customWidth="1"/>
    <col min="5" max="5" width="15.28515625" style="11" hidden="1" customWidth="1"/>
    <col min="6" max="6" width="22.85546875" style="11" customWidth="1"/>
    <col min="7" max="7" width="14.5703125" style="11" customWidth="1"/>
    <col min="8" max="8" width="16.42578125" style="11" customWidth="1"/>
    <col min="9" max="9" width="14.140625" style="11" customWidth="1"/>
    <col min="10" max="10" width="13.140625" style="52" customWidth="1"/>
    <col min="11" max="11" width="14.7109375" style="52" customWidth="1"/>
    <col min="12" max="12" width="13.42578125" style="52" customWidth="1"/>
    <col min="13" max="15" width="14.42578125" style="52" customWidth="1"/>
    <col min="16" max="18" width="16.42578125" style="11" customWidth="1"/>
    <col min="19" max="19" width="10.7109375" style="11" customWidth="1"/>
    <col min="20" max="20" width="14.140625" style="11" customWidth="1"/>
    <col min="21" max="21" width="16.7109375" style="52" customWidth="1"/>
    <col min="22" max="22" width="15.42578125" style="52" customWidth="1"/>
    <col min="23" max="23" width="14.140625" style="11" bestFit="1" customWidth="1"/>
    <col min="24" max="16384" width="11.42578125" style="11"/>
  </cols>
  <sheetData>
    <row r="1" spans="1:22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0"/>
      <c r="M1" s="60"/>
      <c r="N1" s="60"/>
      <c r="O1" s="60"/>
      <c r="P1" s="6"/>
      <c r="Q1" s="6"/>
      <c r="R1" s="6"/>
      <c r="S1" s="15"/>
      <c r="U1" s="60"/>
      <c r="V1" s="60"/>
    </row>
    <row r="2" spans="1:22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0"/>
      <c r="M2" s="60"/>
      <c r="N2" s="60"/>
      <c r="O2" s="60"/>
      <c r="P2" s="6"/>
      <c r="Q2" s="6"/>
      <c r="R2" s="6"/>
      <c r="S2" s="15"/>
      <c r="U2" s="60"/>
      <c r="V2" s="60"/>
    </row>
    <row r="3" spans="1:22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0"/>
      <c r="M3" s="60"/>
      <c r="N3" s="60"/>
      <c r="O3" s="60"/>
      <c r="P3" s="6"/>
      <c r="Q3" s="6"/>
      <c r="R3" s="6"/>
      <c r="S3" s="15"/>
      <c r="U3" s="60"/>
      <c r="V3" s="60"/>
    </row>
    <row r="4" spans="1:22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0"/>
      <c r="M4" s="60"/>
      <c r="N4" s="60"/>
      <c r="O4" s="60"/>
      <c r="P4" s="6"/>
      <c r="Q4" s="6"/>
      <c r="R4" s="6"/>
      <c r="S4" s="15"/>
      <c r="U4" s="60"/>
      <c r="V4" s="60"/>
    </row>
    <row r="5" spans="1:22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56"/>
      <c r="M5" s="56"/>
      <c r="N5" s="56"/>
      <c r="O5" s="56"/>
      <c r="P5" s="15"/>
      <c r="Q5" s="15"/>
      <c r="R5" s="15"/>
      <c r="S5" s="15"/>
      <c r="U5" s="56"/>
      <c r="V5" s="56"/>
    </row>
    <row r="6" spans="1:22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34" t="s">
        <v>237</v>
      </c>
      <c r="M6" s="135"/>
      <c r="N6" s="134" t="s">
        <v>276</v>
      </c>
      <c r="O6" s="135"/>
      <c r="P6" s="16" t="s">
        <v>5</v>
      </c>
      <c r="Q6" s="130" t="s">
        <v>240</v>
      </c>
      <c r="R6" s="16" t="s">
        <v>8</v>
      </c>
      <c r="S6" s="16" t="s">
        <v>9</v>
      </c>
    </row>
    <row r="7" spans="1:22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61" t="s">
        <v>12</v>
      </c>
      <c r="M7" s="73" t="s">
        <v>13</v>
      </c>
      <c r="N7" s="61" t="s">
        <v>12</v>
      </c>
      <c r="O7" s="73" t="s">
        <v>13</v>
      </c>
      <c r="P7" s="19" t="s">
        <v>14</v>
      </c>
      <c r="Q7" s="131"/>
      <c r="R7" s="19" t="s">
        <v>15</v>
      </c>
      <c r="S7" s="19" t="s">
        <v>16</v>
      </c>
    </row>
    <row r="8" spans="1:22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62"/>
      <c r="M8" s="62"/>
      <c r="N8" s="62"/>
      <c r="O8" s="62"/>
      <c r="P8" s="23"/>
      <c r="Q8" s="23"/>
      <c r="R8" s="23"/>
      <c r="S8" s="24"/>
    </row>
    <row r="9" spans="1:22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44"/>
      <c r="M9" s="44"/>
      <c r="N9" s="44"/>
      <c r="O9" s="44"/>
      <c r="P9" s="28"/>
      <c r="Q9" s="28"/>
      <c r="R9" s="28"/>
      <c r="S9" s="27"/>
    </row>
    <row r="10" spans="1:22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44"/>
      <c r="M10" s="44"/>
      <c r="N10" s="44"/>
      <c r="O10" s="44"/>
      <c r="P10" s="28">
        <f>C10+D10-E10+F10-G10+H10-I10+J10-K10+L10-M10+N10-O10</f>
        <v>37000</v>
      </c>
      <c r="Q10" s="28">
        <f>+'[1]ING NOVIEMBRE 2024'!$Q$9</f>
        <v>35271</v>
      </c>
      <c r="R10" s="28">
        <f t="shared" ref="R10:R22" si="0">P10-Q10</f>
        <v>1729</v>
      </c>
      <c r="S10" s="88">
        <f>Q10/$Q$26</f>
        <v>4.7431676835284287E-3</v>
      </c>
    </row>
    <row r="11" spans="1:22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44"/>
      <c r="M11" s="44"/>
      <c r="N11" s="44"/>
      <c r="O11" s="44"/>
      <c r="P11" s="28">
        <f>C11+D11-E11+F11-G11+J11-K11</f>
        <v>0</v>
      </c>
      <c r="Q11" s="28"/>
      <c r="R11" s="28">
        <v>0</v>
      </c>
      <c r="S11" s="88"/>
    </row>
    <row r="12" spans="1:22" ht="15.9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44"/>
      <c r="M12" s="44"/>
      <c r="N12" s="44"/>
      <c r="O12" s="44"/>
      <c r="P12" s="28">
        <f t="shared" ref="P12:P25" si="1">C12+D12-E12+F12-G12+H12-I12+J12-K12+L12-M12+N12-O12</f>
        <v>30500</v>
      </c>
      <c r="Q12" s="28">
        <f>+'[1]ING NOVIEMBRE 2024'!$Q$11</f>
        <v>44345.41</v>
      </c>
      <c r="R12" s="28">
        <f t="shared" si="0"/>
        <v>-13845.410000000003</v>
      </c>
      <c r="S12" s="88">
        <f>Q12/$Q$26</f>
        <v>5.9634746852887197E-3</v>
      </c>
      <c r="T12" s="123">
        <v>-10000</v>
      </c>
      <c r="U12" s="123">
        <f>+R12+T12</f>
        <v>-23845.410000000003</v>
      </c>
    </row>
    <row r="13" spans="1:22" ht="15.9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44"/>
      <c r="M13" s="44"/>
      <c r="N13" s="44"/>
      <c r="O13" s="44"/>
      <c r="P13" s="28">
        <f t="shared" si="1"/>
        <v>3500</v>
      </c>
      <c r="Q13" s="28"/>
      <c r="R13" s="28">
        <f t="shared" si="0"/>
        <v>3500</v>
      </c>
      <c r="S13" s="88">
        <f>Q13/$Q$26</f>
        <v>0</v>
      </c>
    </row>
    <row r="14" spans="1:22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44"/>
      <c r="M14" s="44"/>
      <c r="N14" s="44"/>
      <c r="O14" s="44"/>
      <c r="P14" s="28">
        <f t="shared" si="1"/>
        <v>0</v>
      </c>
      <c r="Q14" s="28"/>
      <c r="R14" s="28"/>
      <c r="S14" s="88"/>
    </row>
    <row r="15" spans="1:22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44">
        <v>30000</v>
      </c>
      <c r="M15" s="44"/>
      <c r="N15" s="44"/>
      <c r="O15" s="44"/>
      <c r="P15" s="28">
        <f t="shared" si="1"/>
        <v>38800</v>
      </c>
      <c r="Q15" s="28">
        <f>+'[1]ING NOVIEMBRE 2024'!$Q$17</f>
        <v>52490.75</v>
      </c>
      <c r="R15" s="28">
        <f t="shared" si="0"/>
        <v>-13690.75</v>
      </c>
      <c r="S15" s="88">
        <f>Q15/$Q$26</f>
        <v>7.0588423658010796E-3</v>
      </c>
      <c r="T15" s="123">
        <v>-6000</v>
      </c>
      <c r="U15" s="123">
        <f>+R15+T15</f>
        <v>-19690.75</v>
      </c>
    </row>
    <row r="16" spans="1:22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44"/>
      <c r="M16" s="44"/>
      <c r="N16" s="44"/>
      <c r="O16" s="44"/>
      <c r="P16" s="28">
        <f t="shared" si="1"/>
        <v>0</v>
      </c>
      <c r="Q16" s="28"/>
      <c r="R16" s="28"/>
      <c r="S16" s="88"/>
    </row>
    <row r="17" spans="1:23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44"/>
      <c r="M17" s="44"/>
      <c r="N17" s="44"/>
      <c r="O17" s="44"/>
      <c r="P17" s="28">
        <f t="shared" si="1"/>
        <v>0</v>
      </c>
      <c r="Q17" s="28"/>
      <c r="R17" s="28"/>
      <c r="S17" s="88"/>
    </row>
    <row r="18" spans="1:23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44">
        <v>-30000</v>
      </c>
      <c r="M18" s="44"/>
      <c r="N18" s="44"/>
      <c r="O18" s="44"/>
      <c r="P18" s="28">
        <f t="shared" si="1"/>
        <v>3938096.55</v>
      </c>
      <c r="Q18" s="28">
        <f>+'[1]ING NOVIEMBRE 2024'!$Q$23</f>
        <v>3671453.61</v>
      </c>
      <c r="R18" s="28">
        <f t="shared" si="0"/>
        <v>266642.93999999994</v>
      </c>
      <c r="S18" s="88">
        <f>Q18/$Q$26</f>
        <v>0.49372912915782902</v>
      </c>
      <c r="T18" s="123">
        <v>364285.79000000004</v>
      </c>
      <c r="U18" s="123">
        <f>+T18-R18</f>
        <v>97642.850000000093</v>
      </c>
      <c r="V18" s="66">
        <f>+Q18/P18</f>
        <v>0.93229141626809531</v>
      </c>
    </row>
    <row r="19" spans="1:23" ht="15.95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44"/>
      <c r="M19" s="44"/>
      <c r="N19" s="44">
        <v>276759.92</v>
      </c>
      <c r="O19" s="44"/>
      <c r="P19" s="28">
        <f t="shared" si="1"/>
        <v>276759.92</v>
      </c>
      <c r="Q19" s="28">
        <f>+'[1]ING NOVIEMBRE 2024'!$Q$24</f>
        <v>92253.31</v>
      </c>
      <c r="R19" s="28">
        <f t="shared" si="0"/>
        <v>184506.61</v>
      </c>
      <c r="S19" s="88">
        <f>Q19/$Q$26</f>
        <v>1.2406025309476057E-2</v>
      </c>
      <c r="V19" s="52">
        <v>330674.71250000002</v>
      </c>
    </row>
    <row r="20" spans="1:23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44"/>
      <c r="M20" s="44"/>
      <c r="N20" s="63">
        <v>582877.05000000005</v>
      </c>
      <c r="O20" s="44"/>
      <c r="P20" s="28">
        <f t="shared" si="1"/>
        <v>4844402.6100000003</v>
      </c>
      <c r="Q20" s="28">
        <f>+'[1]ING NOVIEMBRE 2024'!$Q$25</f>
        <v>3524035.66</v>
      </c>
      <c r="R20" s="28">
        <f t="shared" si="0"/>
        <v>1320366.9500000002</v>
      </c>
      <c r="S20" s="88">
        <f>Q20/$Q$26</f>
        <v>0.47390468254695867</v>
      </c>
      <c r="V20" s="66">
        <f>+V19-R18</f>
        <v>64031.772500000079</v>
      </c>
    </row>
    <row r="21" spans="1:23" ht="15.95" customHeight="1" x14ac:dyDescent="0.25">
      <c r="A21" s="29" t="s">
        <v>25</v>
      </c>
      <c r="B21" s="100" t="s">
        <v>281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44"/>
      <c r="M21" s="44"/>
      <c r="N21" s="44"/>
      <c r="O21" s="44"/>
      <c r="P21" s="28">
        <f t="shared" si="1"/>
        <v>20000</v>
      </c>
      <c r="Q21" s="28">
        <f>+'[1]ING NOVIEMBRE 2024'!$Q$26</f>
        <v>16320</v>
      </c>
      <c r="R21" s="28">
        <f t="shared" si="0"/>
        <v>3680</v>
      </c>
      <c r="S21" s="88">
        <f>Q21/$Q$26</f>
        <v>2.1946782511180277E-3</v>
      </c>
    </row>
    <row r="22" spans="1:23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63"/>
      <c r="M22" s="63"/>
      <c r="N22" s="63"/>
      <c r="O22" s="63"/>
      <c r="P22" s="28">
        <f t="shared" si="1"/>
        <v>50000</v>
      </c>
      <c r="Q22" s="28"/>
      <c r="R22" s="28">
        <f t="shared" si="0"/>
        <v>50000</v>
      </c>
      <c r="S22" s="88">
        <f>Q22/$Q$26</f>
        <v>0</v>
      </c>
      <c r="T22" s="123">
        <v>-50000</v>
      </c>
      <c r="U22" s="123">
        <f>+R22+T22</f>
        <v>0</v>
      </c>
    </row>
    <row r="23" spans="1:23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44"/>
      <c r="M23" s="44"/>
      <c r="N23" s="44"/>
      <c r="O23" s="44"/>
      <c r="P23" s="28">
        <f t="shared" si="1"/>
        <v>0</v>
      </c>
      <c r="Q23" s="28"/>
      <c r="R23" s="26"/>
      <c r="S23" s="88"/>
    </row>
    <row r="24" spans="1:23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44"/>
      <c r="M24" s="44"/>
      <c r="N24" s="44"/>
      <c r="O24" s="44"/>
      <c r="P24" s="28">
        <f t="shared" si="1"/>
        <v>260547.84</v>
      </c>
      <c r="Q24" s="28"/>
      <c r="R24" s="28">
        <f>P24-Q24</f>
        <v>260547.84</v>
      </c>
      <c r="S24" s="88">
        <f>Q24/$Q$26</f>
        <v>0</v>
      </c>
    </row>
    <row r="25" spans="1:23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44"/>
      <c r="M25" s="44"/>
      <c r="N25" s="44"/>
      <c r="O25" s="44"/>
      <c r="P25" s="28">
        <f t="shared" si="1"/>
        <v>2274050.3800000004</v>
      </c>
      <c r="Q25" s="28"/>
      <c r="R25" s="28">
        <f>P25-Q25</f>
        <v>2274050.3800000004</v>
      </c>
      <c r="S25" s="88">
        <f>Q25/$Q$26</f>
        <v>0</v>
      </c>
    </row>
    <row r="26" spans="1:23" ht="18" customHeight="1" thickBot="1" x14ac:dyDescent="0.3">
      <c r="A26" s="32"/>
      <c r="B26" s="106" t="s">
        <v>32</v>
      </c>
      <c r="C26" s="34">
        <f t="shared" ref="C26:P26" si="2">SUM(C9:C25)</f>
        <v>8258523.620000001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ref="L26:O26" si="3">SUM(L9:L25)</f>
        <v>0</v>
      </c>
      <c r="M26" s="34">
        <f t="shared" si="3"/>
        <v>0</v>
      </c>
      <c r="N26" s="34">
        <f t="shared" si="3"/>
        <v>859636.97</v>
      </c>
      <c r="O26" s="34">
        <f t="shared" si="3"/>
        <v>0</v>
      </c>
      <c r="P26" s="34">
        <f t="shared" si="2"/>
        <v>11773657.300000001</v>
      </c>
      <c r="Q26" s="34">
        <f>SUM(Q10:Q25)</f>
        <v>7436169.7400000002</v>
      </c>
      <c r="R26" s="34">
        <f>SUM(R9:R25)</f>
        <v>4337487.5600000005</v>
      </c>
      <c r="S26" s="27"/>
    </row>
    <row r="27" spans="1:23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62"/>
      <c r="M27" s="62"/>
      <c r="N27" s="62"/>
      <c r="O27" s="62"/>
      <c r="P27" s="36"/>
      <c r="Q27" s="36"/>
      <c r="R27" s="36"/>
      <c r="S27" s="37"/>
      <c r="W27" s="14"/>
    </row>
    <row r="28" spans="1:23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44"/>
      <c r="M28" s="44"/>
      <c r="N28" s="44"/>
      <c r="O28" s="44"/>
      <c r="P28" s="28"/>
      <c r="Q28" s="28"/>
      <c r="R28" s="28"/>
      <c r="S28" s="38"/>
    </row>
    <row r="29" spans="1:23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44"/>
      <c r="M29" s="44"/>
      <c r="N29" s="44"/>
      <c r="O29" s="44"/>
      <c r="P29" s="28"/>
      <c r="Q29" s="28"/>
      <c r="R29" s="28"/>
      <c r="S29" s="38"/>
    </row>
    <row r="30" spans="1:23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44"/>
      <c r="M30" s="44"/>
      <c r="N30" s="44"/>
      <c r="O30" s="44"/>
      <c r="P30" s="28"/>
      <c r="Q30" s="28"/>
      <c r="R30" s="28"/>
      <c r="S30" s="38"/>
    </row>
    <row r="31" spans="1:23" ht="15.95" customHeight="1" x14ac:dyDescent="0.25">
      <c r="A31" s="94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44"/>
      <c r="M31" s="44"/>
      <c r="N31" s="44"/>
      <c r="O31" s="44"/>
      <c r="P31" s="28">
        <f>+C31+D31-E31+F31-G31+H31-I31+J31-K31+L31-M31+N31-O31</f>
        <v>846201.45000000007</v>
      </c>
      <c r="Q31" s="28">
        <f>+'[1]EGR NOVIEMBRE 2024'!$Q$7</f>
        <v>740286.45999999985</v>
      </c>
      <c r="R31" s="28">
        <f t="shared" ref="R31:R100" si="4">P31-Q31</f>
        <v>105914.99000000022</v>
      </c>
      <c r="S31" s="88">
        <f>Q31/$Q$144</f>
        <v>0.10091134548919574</v>
      </c>
    </row>
    <row r="32" spans="1:23" ht="30.75" customHeight="1" x14ac:dyDescent="0.25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44"/>
      <c r="M32" s="44"/>
      <c r="N32" s="44"/>
      <c r="O32" s="44"/>
      <c r="P32" s="28">
        <f t="shared" ref="P32:P95" si="5">+C32+D32-E32+F32-G32+H32-I32+J32-K32+L32-M32+N32-O32</f>
        <v>13700</v>
      </c>
      <c r="Q32" s="28">
        <f>+'[1]EGR NOVIEMBRE 2024'!$Q$8</f>
        <v>7312.5</v>
      </c>
      <c r="R32" s="28">
        <f t="shared" si="4"/>
        <v>6387.5</v>
      </c>
      <c r="S32" s="88">
        <f>Q32/$Q$144</f>
        <v>9.9679550250013219E-4</v>
      </c>
    </row>
    <row r="33" spans="1:21" ht="31.5" customHeight="1" x14ac:dyDescent="0.25">
      <c r="A33" s="94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44"/>
      <c r="M33" s="44"/>
      <c r="N33" s="44">
        <v>11000</v>
      </c>
      <c r="O33" s="44"/>
      <c r="P33" s="28">
        <f t="shared" si="5"/>
        <v>322100</v>
      </c>
      <c r="Q33" s="28">
        <f>+'[1]EGR NOVIEMBRE 2024'!$Q$9</f>
        <v>242106.37000000002</v>
      </c>
      <c r="R33" s="28">
        <f t="shared" si="4"/>
        <v>79993.629999999976</v>
      </c>
      <c r="S33" s="88">
        <f>Q33/$Q$144</f>
        <v>3.3002467110103649E-2</v>
      </c>
      <c r="T33" s="122">
        <f>(1500*11)+21524</f>
        <v>38024</v>
      </c>
      <c r="U33" s="52">
        <v>22000.000000000004</v>
      </c>
    </row>
    <row r="34" spans="1:21" ht="15.95" customHeight="1" x14ac:dyDescent="0.3">
      <c r="A34" s="41" t="s">
        <v>250</v>
      </c>
      <c r="B34" s="120" t="s">
        <v>282</v>
      </c>
      <c r="C34" s="28"/>
      <c r="D34" s="28"/>
      <c r="E34" s="28"/>
      <c r="F34" s="44"/>
      <c r="G34" s="44"/>
      <c r="H34" s="28"/>
      <c r="I34" s="28"/>
      <c r="J34" s="44"/>
      <c r="K34" s="44"/>
      <c r="L34" s="44"/>
      <c r="M34" s="44"/>
      <c r="N34" s="44"/>
      <c r="O34" s="44"/>
      <c r="P34" s="28">
        <f t="shared" si="5"/>
        <v>0</v>
      </c>
      <c r="Q34" s="28"/>
      <c r="R34" s="28">
        <f t="shared" si="4"/>
        <v>0</v>
      </c>
      <c r="S34" s="88"/>
    </row>
    <row r="35" spans="1:21" ht="15.95" customHeight="1" x14ac:dyDescent="0.25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44"/>
      <c r="M35" s="44"/>
      <c r="N35" s="44"/>
      <c r="O35" s="44"/>
      <c r="P35" s="28">
        <f t="shared" si="5"/>
        <v>15400</v>
      </c>
      <c r="Q35" s="28"/>
      <c r="R35" s="28">
        <f t="shared" si="4"/>
        <v>15400</v>
      </c>
      <c r="S35" s="88">
        <f t="shared" ref="S35:S42" si="6">Q35/$Q$144</f>
        <v>0</v>
      </c>
    </row>
    <row r="36" spans="1:21" ht="15.95" customHeight="1" x14ac:dyDescent="0.25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44"/>
      <c r="M36" s="44"/>
      <c r="N36" s="44"/>
      <c r="O36" s="44"/>
      <c r="P36" s="28">
        <f t="shared" si="5"/>
        <v>32500</v>
      </c>
      <c r="Q36" s="28">
        <f>+'[1]EGR NOVIEMBRE 2024'!$Q$12</f>
        <v>22680</v>
      </c>
      <c r="R36" s="28">
        <f t="shared" si="4"/>
        <v>9820</v>
      </c>
      <c r="S36" s="88">
        <f t="shared" si="6"/>
        <v>3.0915995892927175E-3</v>
      </c>
    </row>
    <row r="37" spans="1:21" ht="15.95" customHeight="1" x14ac:dyDescent="0.25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44"/>
      <c r="M37" s="44"/>
      <c r="N37" s="44"/>
      <c r="O37" s="44"/>
      <c r="P37" s="28">
        <f t="shared" si="5"/>
        <v>34510.800000000003</v>
      </c>
      <c r="Q37" s="28">
        <f>+'[1]EGR NOVIEMBRE 2024'!$Q$13</f>
        <v>17862.559999999998</v>
      </c>
      <c r="R37" s="28">
        <f t="shared" si="4"/>
        <v>16648.240000000005</v>
      </c>
      <c r="S37" s="88">
        <f t="shared" si="6"/>
        <v>2.4349154832326507E-3</v>
      </c>
      <c r="T37" s="11">
        <v>11343.02</v>
      </c>
      <c r="U37" s="127">
        <f>+R37-T37</f>
        <v>5305.2200000000048</v>
      </c>
    </row>
    <row r="38" spans="1:21" ht="15.95" customHeight="1" x14ac:dyDescent="0.25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44"/>
      <c r="M38" s="44"/>
      <c r="N38" s="44"/>
      <c r="O38" s="44"/>
      <c r="P38" s="28">
        <f t="shared" si="5"/>
        <v>115401.15</v>
      </c>
      <c r="Q38" s="28">
        <f>+'[1]EGR NOVIEMBRE 2024'!$Q$14</f>
        <v>80910.700000000012</v>
      </c>
      <c r="R38" s="28">
        <f t="shared" si="4"/>
        <v>34490.449999999983</v>
      </c>
      <c r="S38" s="88">
        <f t="shared" si="6"/>
        <v>1.1029254272018797E-2</v>
      </c>
    </row>
    <row r="39" spans="1:21" ht="15.95" customHeight="1" x14ac:dyDescent="0.25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44"/>
      <c r="M39" s="44"/>
      <c r="N39" s="44"/>
      <c r="O39" s="44"/>
      <c r="P39" s="28">
        <f t="shared" si="5"/>
        <v>15190.84</v>
      </c>
      <c r="Q39" s="28">
        <f>+'[1]EGR NOVIEMBRE 2024'!$Q$15</f>
        <v>7581.4900000000007</v>
      </c>
      <c r="R39" s="28">
        <f t="shared" si="4"/>
        <v>7609.3499999999995</v>
      </c>
      <c r="S39" s="88">
        <f t="shared" si="6"/>
        <v>1.0334625824615013E-3</v>
      </c>
    </row>
    <row r="40" spans="1:21" ht="15.95" customHeight="1" x14ac:dyDescent="0.25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44"/>
      <c r="M40" s="44"/>
      <c r="N40" s="44"/>
      <c r="O40" s="44"/>
      <c r="P40" s="28">
        <f t="shared" si="5"/>
        <v>75581.009999999995</v>
      </c>
      <c r="Q40" s="28">
        <f>+'[1]EGR NOVIEMBRE 2024'!$Q$16</f>
        <v>6376.03</v>
      </c>
      <c r="R40" s="28">
        <f t="shared" si="4"/>
        <v>69204.98</v>
      </c>
      <c r="S40" s="88">
        <f t="shared" si="6"/>
        <v>8.6914161064012552E-4</v>
      </c>
      <c r="T40" s="11">
        <v>61192.834689523013</v>
      </c>
      <c r="U40" s="127"/>
    </row>
    <row r="41" spans="1:21" ht="15.95" customHeight="1" x14ac:dyDescent="0.25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44"/>
      <c r="M41" s="44"/>
      <c r="N41" s="44"/>
      <c r="O41" s="44"/>
      <c r="P41" s="28">
        <f t="shared" si="5"/>
        <v>75581.009999999995</v>
      </c>
      <c r="Q41" s="28">
        <f>+'[1]EGR NOVIEMBRE 2024'!$Q$17</f>
        <v>64403.34</v>
      </c>
      <c r="R41" s="28">
        <f t="shared" si="4"/>
        <v>11177.669999999998</v>
      </c>
      <c r="S41" s="88">
        <f t="shared" si="6"/>
        <v>8.7790714062204248E-3</v>
      </c>
    </row>
    <row r="42" spans="1:21" ht="15.95" customHeight="1" x14ac:dyDescent="0.25">
      <c r="A42" s="94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44"/>
      <c r="M42" s="44"/>
      <c r="N42" s="44">
        <v>1100</v>
      </c>
      <c r="O42" s="44"/>
      <c r="P42" s="28">
        <f t="shared" si="5"/>
        <v>6100</v>
      </c>
      <c r="Q42" s="28">
        <f>+'[1]EGR NOVIEMBRE 2024'!$Q$18</f>
        <v>370.41</v>
      </c>
      <c r="R42" s="28">
        <f t="shared" si="4"/>
        <v>5729.59</v>
      </c>
      <c r="S42" s="88">
        <f t="shared" si="6"/>
        <v>5.0492037207668238E-5</v>
      </c>
      <c r="T42" s="122">
        <f>500*11</f>
        <v>5500</v>
      </c>
    </row>
    <row r="43" spans="1:21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44"/>
      <c r="M43" s="44"/>
      <c r="N43" s="44"/>
      <c r="O43" s="44"/>
      <c r="P43" s="28">
        <f t="shared" si="5"/>
        <v>0</v>
      </c>
      <c r="Q43" s="28"/>
      <c r="R43" s="28"/>
      <c r="S43" s="38"/>
    </row>
    <row r="44" spans="1:21" ht="15.95" customHeight="1" x14ac:dyDescent="0.25">
      <c r="A44" s="39">
        <v>1</v>
      </c>
      <c r="B44" s="108" t="s">
        <v>49</v>
      </c>
      <c r="C44" s="26"/>
      <c r="D44" s="28"/>
      <c r="E44" s="28"/>
      <c r="F44" s="44"/>
      <c r="G44" s="44"/>
      <c r="H44" s="28"/>
      <c r="I44" s="28"/>
      <c r="J44" s="44"/>
      <c r="K44" s="44"/>
      <c r="L44" s="44"/>
      <c r="M44" s="44"/>
      <c r="N44" s="44"/>
      <c r="O44" s="44"/>
      <c r="P44" s="28">
        <f t="shared" si="5"/>
        <v>0</v>
      </c>
      <c r="Q44" s="28"/>
      <c r="R44" s="28"/>
      <c r="S44" s="38"/>
    </row>
    <row r="45" spans="1:21" ht="15.95" customHeight="1" x14ac:dyDescent="0.25">
      <c r="A45" s="41" t="s">
        <v>91</v>
      </c>
      <c r="B45" s="100" t="s">
        <v>50</v>
      </c>
      <c r="C45" s="28">
        <v>13750</v>
      </c>
      <c r="D45" s="28"/>
      <c r="E45" s="28"/>
      <c r="F45" s="44"/>
      <c r="G45" s="44"/>
      <c r="H45" s="28"/>
      <c r="I45" s="28"/>
      <c r="J45" s="44"/>
      <c r="K45" s="44"/>
      <c r="L45" s="44">
        <v>5000</v>
      </c>
      <c r="M45" s="44"/>
      <c r="N45" s="44"/>
      <c r="O45" s="44"/>
      <c r="P45" s="28">
        <f t="shared" si="5"/>
        <v>18750</v>
      </c>
      <c r="Q45" s="28">
        <f>+'[1]EGR NOVIEMBRE 2024'!$Q$19</f>
        <v>12313.24</v>
      </c>
      <c r="R45" s="28">
        <f t="shared" si="4"/>
        <v>6436.76</v>
      </c>
      <c r="S45" s="88">
        <f t="shared" ref="S45:S62" si="7">Q45/$Q$144</f>
        <v>1.6784659491562021E-3</v>
      </c>
      <c r="T45" s="122">
        <v>1188.31</v>
      </c>
    </row>
    <row r="46" spans="1:21" ht="15.95" customHeight="1" x14ac:dyDescent="0.25">
      <c r="A46" s="41" t="s">
        <v>92</v>
      </c>
      <c r="B46" s="100" t="s">
        <v>51</v>
      </c>
      <c r="C46" s="28">
        <v>26100</v>
      </c>
      <c r="D46" s="28"/>
      <c r="E46" s="28"/>
      <c r="F46" s="44"/>
      <c r="G46" s="44"/>
      <c r="H46" s="28"/>
      <c r="I46" s="28"/>
      <c r="J46" s="44"/>
      <c r="K46" s="44"/>
      <c r="L46" s="44"/>
      <c r="M46" s="44"/>
      <c r="N46" s="44"/>
      <c r="O46" s="44"/>
      <c r="P46" s="28">
        <f t="shared" si="5"/>
        <v>26100</v>
      </c>
      <c r="Q46" s="28">
        <f>+'[1]EGR NOVIEMBRE 2024'!$Q$20</f>
        <v>13860.190000000002</v>
      </c>
      <c r="R46" s="28">
        <f t="shared" si="4"/>
        <v>12239.809999999998</v>
      </c>
      <c r="S46" s="88">
        <f t="shared" si="7"/>
        <v>1.8893367597671534E-3</v>
      </c>
      <c r="T46" s="122">
        <v>653</v>
      </c>
    </row>
    <row r="47" spans="1:21" ht="15.95" customHeight="1" x14ac:dyDescent="0.25">
      <c r="A47" s="41" t="s">
        <v>93</v>
      </c>
      <c r="B47" s="100" t="s">
        <v>52</v>
      </c>
      <c r="C47" s="28">
        <v>2000</v>
      </c>
      <c r="D47" s="28"/>
      <c r="E47" s="28"/>
      <c r="F47" s="44"/>
      <c r="G47" s="44"/>
      <c r="H47" s="28"/>
      <c r="I47" s="28"/>
      <c r="J47" s="44"/>
      <c r="K47" s="44"/>
      <c r="L47" s="44"/>
      <c r="M47" s="44"/>
      <c r="N47" s="44"/>
      <c r="O47" s="44"/>
      <c r="P47" s="28">
        <f t="shared" si="5"/>
        <v>2000</v>
      </c>
      <c r="Q47" s="28">
        <f>+'[1]EGR NOVIEMBRE 2024'!$Q$21</f>
        <v>1508.32</v>
      </c>
      <c r="R47" s="28">
        <f t="shared" si="4"/>
        <v>491.68000000000006</v>
      </c>
      <c r="S47" s="88">
        <f t="shared" si="7"/>
        <v>2.056050040794529E-4</v>
      </c>
    </row>
    <row r="48" spans="1:21" ht="15.95" customHeight="1" x14ac:dyDescent="0.25">
      <c r="A48" s="41" t="s">
        <v>94</v>
      </c>
      <c r="B48" s="100" t="s">
        <v>159</v>
      </c>
      <c r="C48" s="28">
        <v>8000</v>
      </c>
      <c r="D48" s="28"/>
      <c r="E48" s="28"/>
      <c r="F48" s="44"/>
      <c r="G48" s="44"/>
      <c r="H48" s="28"/>
      <c r="I48" s="28"/>
      <c r="J48" s="44"/>
      <c r="K48" s="44"/>
      <c r="L48" s="44"/>
      <c r="M48" s="44"/>
      <c r="N48" s="44"/>
      <c r="O48" s="44"/>
      <c r="P48" s="28">
        <f t="shared" si="5"/>
        <v>8000</v>
      </c>
      <c r="Q48" s="28">
        <f>+'[1]EGR NOVIEMBRE 2024'!$Q$22</f>
        <v>8165</v>
      </c>
      <c r="R48" s="28">
        <f t="shared" si="4"/>
        <v>-165</v>
      </c>
      <c r="S48" s="88">
        <f t="shared" si="7"/>
        <v>1.1130031149283526E-3</v>
      </c>
    </row>
    <row r="49" spans="1:19" ht="15.95" customHeight="1" x14ac:dyDescent="0.25">
      <c r="A49" s="41" t="s">
        <v>95</v>
      </c>
      <c r="B49" s="100" t="s">
        <v>160</v>
      </c>
      <c r="C49" s="28">
        <v>14250</v>
      </c>
      <c r="D49" s="28"/>
      <c r="E49" s="28"/>
      <c r="F49" s="44"/>
      <c r="G49" s="44"/>
      <c r="H49" s="28"/>
      <c r="I49" s="28"/>
      <c r="J49" s="44"/>
      <c r="K49" s="44"/>
      <c r="L49" s="44"/>
      <c r="M49" s="44"/>
      <c r="N49" s="44"/>
      <c r="O49" s="44"/>
      <c r="P49" s="28">
        <f t="shared" si="5"/>
        <v>14250</v>
      </c>
      <c r="Q49" s="28">
        <f>+'[1]EGR NOVIEMBRE 2024'!$Q$23</f>
        <v>8726.25</v>
      </c>
      <c r="R49" s="28">
        <f t="shared" si="4"/>
        <v>5523.75</v>
      </c>
      <c r="S49" s="88">
        <f t="shared" si="7"/>
        <v>1.1895092996501578E-3</v>
      </c>
    </row>
    <row r="50" spans="1:19" ht="15.95" customHeight="1" x14ac:dyDescent="0.25">
      <c r="A50" s="41" t="s">
        <v>96</v>
      </c>
      <c r="B50" s="100" t="s">
        <v>161</v>
      </c>
      <c r="C50" s="28">
        <v>673088.47</v>
      </c>
      <c r="D50" s="28"/>
      <c r="E50" s="28"/>
      <c r="F50" s="44">
        <v>300000</v>
      </c>
      <c r="G50" s="44"/>
      <c r="H50" s="28">
        <v>1130902.48</v>
      </c>
      <c r="I50" s="28"/>
      <c r="J50" s="44"/>
      <c r="K50" s="44"/>
      <c r="L50" s="44"/>
      <c r="M50" s="44"/>
      <c r="N50" s="44">
        <v>369629.34878048784</v>
      </c>
      <c r="O50" s="44"/>
      <c r="P50" s="28">
        <f t="shared" si="5"/>
        <v>2473620.2987804879</v>
      </c>
      <c r="Q50" s="28">
        <f>+'[1]EGR NOVIEMBRE 2024'!$Q$24</f>
        <v>1799496</v>
      </c>
      <c r="R50" s="28">
        <f t="shared" si="4"/>
        <v>674124.29878048785</v>
      </c>
      <c r="S50" s="88">
        <f t="shared" si="7"/>
        <v>0.24529634455616792</v>
      </c>
    </row>
    <row r="51" spans="1:19" ht="15.95" customHeight="1" x14ac:dyDescent="0.25">
      <c r="A51" s="41" t="s">
        <v>97</v>
      </c>
      <c r="B51" s="100" t="s">
        <v>53</v>
      </c>
      <c r="C51" s="28">
        <v>563742.69999999995</v>
      </c>
      <c r="D51" s="28"/>
      <c r="E51" s="28"/>
      <c r="F51" s="44"/>
      <c r="G51" s="44">
        <v>300000</v>
      </c>
      <c r="H51" s="28">
        <v>293382.87</v>
      </c>
      <c r="I51" s="28"/>
      <c r="J51" s="44"/>
      <c r="K51" s="44"/>
      <c r="L51" s="44"/>
      <c r="M51" s="44">
        <v>110000</v>
      </c>
      <c r="N51" s="44"/>
      <c r="O51" s="44"/>
      <c r="P51" s="28">
        <f t="shared" si="5"/>
        <v>447125.56999999995</v>
      </c>
      <c r="Q51" s="28">
        <f>+'[1]EGR NOVIEMBRE 2024'!$Q$25</f>
        <v>268177.96000000002</v>
      </c>
      <c r="R51" s="28">
        <f t="shared" si="4"/>
        <v>178947.60999999993</v>
      </c>
      <c r="S51" s="88">
        <f t="shared" si="7"/>
        <v>3.6556387609936458E-2</v>
      </c>
    </row>
    <row r="52" spans="1:19" ht="15.95" customHeight="1" x14ac:dyDescent="0.25">
      <c r="A52" s="41">
        <v>136</v>
      </c>
      <c r="B52" s="100" t="s">
        <v>274</v>
      </c>
      <c r="C52" s="28"/>
      <c r="D52" s="28"/>
      <c r="E52" s="28"/>
      <c r="F52" s="44"/>
      <c r="G52" s="44"/>
      <c r="H52" s="28"/>
      <c r="I52" s="28"/>
      <c r="J52" s="44"/>
      <c r="K52" s="44"/>
      <c r="L52" s="44">
        <v>100000</v>
      </c>
      <c r="M52" s="44"/>
      <c r="N52" s="44">
        <v>28433.026829268296</v>
      </c>
      <c r="O52" s="44"/>
      <c r="P52" s="28">
        <f t="shared" si="5"/>
        <v>128433.02682926829</v>
      </c>
      <c r="Q52" s="28">
        <f>+'[1]EGR NOVIEMBRE 2024'!$Q$26</f>
        <v>34595.620000000003</v>
      </c>
      <c r="R52" s="28">
        <f t="shared" si="4"/>
        <v>93837.406829268293</v>
      </c>
      <c r="S52" s="88">
        <f t="shared" si="7"/>
        <v>4.7158643996175901E-3</v>
      </c>
    </row>
    <row r="53" spans="1:19" ht="15.95" customHeight="1" x14ac:dyDescent="0.25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44"/>
      <c r="M53" s="44"/>
      <c r="N53" s="44">
        <v>184814.67439024392</v>
      </c>
      <c r="O53" s="44"/>
      <c r="P53" s="28">
        <f t="shared" si="5"/>
        <v>1503864.3743902438</v>
      </c>
      <c r="Q53" s="28">
        <f>+'[1]EGR NOVIEMBRE 2024'!$Q$27</f>
        <v>927783.18</v>
      </c>
      <c r="R53" s="28">
        <f t="shared" si="4"/>
        <v>576081.19439024373</v>
      </c>
      <c r="S53" s="88">
        <f t="shared" si="7"/>
        <v>0.12646975741801991</v>
      </c>
    </row>
    <row r="54" spans="1:19" ht="15.95" customHeight="1" x14ac:dyDescent="0.25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44"/>
      <c r="M54" s="44"/>
      <c r="N54" s="44"/>
      <c r="O54" s="44"/>
      <c r="P54" s="28">
        <f t="shared" si="5"/>
        <v>225000</v>
      </c>
      <c r="Q54" s="28">
        <f>+'[1]EGR NOVIEMBRE 2024'!$Q$28</f>
        <v>97220.47</v>
      </c>
      <c r="R54" s="28">
        <f t="shared" si="4"/>
        <v>127779.53</v>
      </c>
      <c r="S54" s="88">
        <f t="shared" si="7"/>
        <v>1.3252502871377645E-2</v>
      </c>
    </row>
    <row r="55" spans="1:19" ht="15.95" customHeight="1" x14ac:dyDescent="0.25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44"/>
      <c r="M55" s="44"/>
      <c r="N55" s="44"/>
      <c r="O55" s="44"/>
      <c r="P55" s="28">
        <f t="shared" si="5"/>
        <v>75000</v>
      </c>
      <c r="Q55" s="28">
        <f>+'[1]EGR NOVIEMBRE 2024'!$Q$29</f>
        <v>286.05</v>
      </c>
      <c r="R55" s="28">
        <f t="shared" si="4"/>
        <v>74713.95</v>
      </c>
      <c r="S55" s="88">
        <f t="shared" si="7"/>
        <v>3.8992595349082094E-5</v>
      </c>
    </row>
    <row r="56" spans="1:19" ht="15.95" customHeight="1" x14ac:dyDescent="0.25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44"/>
      <c r="M56" s="44"/>
      <c r="N56" s="44"/>
      <c r="O56" s="44"/>
      <c r="P56" s="28">
        <f t="shared" si="5"/>
        <v>90000</v>
      </c>
      <c r="Q56" s="28">
        <f>+'[1]EGR NOVIEMBRE 2024'!$Q$30</f>
        <v>60000</v>
      </c>
      <c r="R56" s="28">
        <f t="shared" si="4"/>
        <v>30000</v>
      </c>
      <c r="S56" s="88">
        <f t="shared" si="7"/>
        <v>8.1788348923087766E-3</v>
      </c>
    </row>
    <row r="57" spans="1:19" ht="15.95" customHeight="1" x14ac:dyDescent="0.25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44"/>
      <c r="M57" s="44"/>
      <c r="N57" s="44">
        <v>25000</v>
      </c>
      <c r="O57" s="44"/>
      <c r="P57" s="28">
        <f t="shared" si="5"/>
        <v>35400</v>
      </c>
      <c r="Q57" s="28">
        <f>+'[1]EGR NOVIEMBRE 2024'!$Q$31</f>
        <v>7600</v>
      </c>
      <c r="R57" s="28">
        <f t="shared" si="4"/>
        <v>27800</v>
      </c>
      <c r="S57" s="88">
        <f t="shared" si="7"/>
        <v>1.0359857530257784E-3</v>
      </c>
    </row>
    <row r="58" spans="1:19" ht="31.5" customHeight="1" x14ac:dyDescent="0.25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44"/>
      <c r="M58" s="44"/>
      <c r="N58" s="44"/>
      <c r="O58" s="44"/>
      <c r="P58" s="28">
        <f t="shared" si="5"/>
        <v>3004.32</v>
      </c>
      <c r="Q58" s="28"/>
      <c r="R58" s="28">
        <f t="shared" si="4"/>
        <v>3004.32</v>
      </c>
      <c r="S58" s="88">
        <f t="shared" si="7"/>
        <v>0</v>
      </c>
    </row>
    <row r="59" spans="1:19" ht="31.5" customHeight="1" x14ac:dyDescent="0.25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44"/>
      <c r="M59" s="44"/>
      <c r="N59" s="44"/>
      <c r="O59" s="44"/>
      <c r="P59" s="28">
        <f t="shared" si="5"/>
        <v>7750</v>
      </c>
      <c r="Q59" s="28">
        <f>+'[1]EGR NOVIEMBRE 2024'!$Q$33</f>
        <v>2450</v>
      </c>
      <c r="R59" s="28">
        <f t="shared" si="4"/>
        <v>5300</v>
      </c>
      <c r="S59" s="88">
        <f t="shared" si="7"/>
        <v>3.339690914359417E-4</v>
      </c>
    </row>
    <row r="60" spans="1:19" ht="30.75" customHeight="1" x14ac:dyDescent="0.25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44"/>
      <c r="M60" s="44"/>
      <c r="N60" s="44"/>
      <c r="O60" s="44"/>
      <c r="P60" s="28">
        <f t="shared" si="5"/>
        <v>7000</v>
      </c>
      <c r="Q60" s="28">
        <f>+'[1]EGR NOVIEMBRE 2024'!$Q$34</f>
        <v>691.53</v>
      </c>
      <c r="R60" s="28">
        <f t="shared" si="4"/>
        <v>6308.47</v>
      </c>
      <c r="S60" s="88">
        <f t="shared" si="7"/>
        <v>9.4265161551304811E-5</v>
      </c>
    </row>
    <row r="61" spans="1:19" ht="30.75" customHeight="1" x14ac:dyDescent="0.25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44"/>
      <c r="M61" s="44"/>
      <c r="N61" s="44"/>
      <c r="O61" s="44">
        <v>460</v>
      </c>
      <c r="P61" s="28">
        <f t="shared" si="5"/>
        <v>13540</v>
      </c>
      <c r="Q61" s="28">
        <f>+'[1]EGR NOVIEMBRE 2024'!$Q$35</f>
        <v>820</v>
      </c>
      <c r="R61" s="28">
        <f t="shared" si="4"/>
        <v>12720</v>
      </c>
      <c r="S61" s="88">
        <f t="shared" si="7"/>
        <v>1.1177741019488661E-4</v>
      </c>
    </row>
    <row r="62" spans="1:19" ht="15.95" hidden="1" customHeight="1" x14ac:dyDescent="0.25">
      <c r="A62" s="41" t="s">
        <v>106</v>
      </c>
      <c r="B62" s="100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44"/>
      <c r="M62" s="44"/>
      <c r="N62" s="44"/>
      <c r="O62" s="44"/>
      <c r="P62" s="28">
        <f t="shared" si="5"/>
        <v>0</v>
      </c>
      <c r="Q62" s="28"/>
      <c r="R62" s="28">
        <f t="shared" si="4"/>
        <v>0</v>
      </c>
      <c r="S62" s="88">
        <f t="shared" si="7"/>
        <v>0</v>
      </c>
    </row>
    <row r="63" spans="1:19" ht="15.95" customHeight="1" x14ac:dyDescent="0.25">
      <c r="A63" s="41">
        <v>169</v>
      </c>
      <c r="B63" s="100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44"/>
      <c r="M63" s="44"/>
      <c r="N63" s="44"/>
      <c r="O63" s="44"/>
      <c r="P63" s="28">
        <f t="shared" si="5"/>
        <v>15000</v>
      </c>
      <c r="Q63" s="28"/>
      <c r="R63" s="28">
        <f t="shared" si="4"/>
        <v>15000</v>
      </c>
      <c r="S63" s="88"/>
    </row>
    <row r="64" spans="1:19" ht="15.95" customHeight="1" x14ac:dyDescent="0.25">
      <c r="A64" s="41">
        <v>171</v>
      </c>
      <c r="B64" s="100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44"/>
      <c r="M64" s="44"/>
      <c r="N64" s="44"/>
      <c r="O64" s="44"/>
      <c r="P64" s="28">
        <f t="shared" si="5"/>
        <v>15000</v>
      </c>
      <c r="Q64" s="28"/>
      <c r="R64" s="28">
        <f t="shared" si="4"/>
        <v>15000</v>
      </c>
      <c r="S64" s="88"/>
    </row>
    <row r="65" spans="1:23" ht="15.95" customHeight="1" x14ac:dyDescent="0.25">
      <c r="A65" s="41" t="s">
        <v>107</v>
      </c>
      <c r="B65" s="100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44"/>
      <c r="M65" s="44"/>
      <c r="N65" s="44"/>
      <c r="O65" s="44"/>
      <c r="P65" s="28">
        <f t="shared" si="5"/>
        <v>30750</v>
      </c>
      <c r="Q65" s="28"/>
      <c r="R65" s="28">
        <f t="shared" si="4"/>
        <v>30750</v>
      </c>
      <c r="S65" s="88">
        <f>Q65/$Q$144</f>
        <v>0</v>
      </c>
    </row>
    <row r="66" spans="1:23" ht="34.5" customHeight="1" x14ac:dyDescent="0.25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44"/>
      <c r="M66" s="44"/>
      <c r="N66" s="44"/>
      <c r="O66" s="44"/>
      <c r="P66" s="28">
        <f t="shared" si="5"/>
        <v>20000</v>
      </c>
      <c r="Q66" s="28">
        <f>+'[1]EGR NOVIEMBRE 2024'!$Q$38</f>
        <v>4000</v>
      </c>
      <c r="R66" s="28">
        <f t="shared" si="4"/>
        <v>16000</v>
      </c>
      <c r="S66" s="88"/>
    </row>
    <row r="67" spans="1:23" ht="33" customHeight="1" x14ac:dyDescent="0.25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44"/>
      <c r="M67" s="44"/>
      <c r="N67" s="44"/>
      <c r="O67" s="44"/>
      <c r="P67" s="28">
        <f t="shared" si="5"/>
        <v>260706.83</v>
      </c>
      <c r="Q67" s="28"/>
      <c r="R67" s="28">
        <f t="shared" si="4"/>
        <v>260706.83</v>
      </c>
      <c r="S67" s="88">
        <f t="shared" ref="S67:S81" si="8">Q67/$Q$144</f>
        <v>0</v>
      </c>
    </row>
    <row r="68" spans="1:23" ht="15.95" customHeight="1" x14ac:dyDescent="0.25">
      <c r="A68" s="41">
        <v>182</v>
      </c>
      <c r="B68" s="100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44"/>
      <c r="M68" s="44"/>
      <c r="N68" s="44"/>
      <c r="O68" s="44">
        <v>3776</v>
      </c>
      <c r="P68" s="28">
        <f t="shared" si="5"/>
        <v>6224</v>
      </c>
      <c r="Q68" s="28"/>
      <c r="R68" s="28">
        <f t="shared" si="4"/>
        <v>6224</v>
      </c>
      <c r="S68" s="88">
        <f t="shared" si="8"/>
        <v>0</v>
      </c>
    </row>
    <row r="69" spans="1:23" ht="15.95" customHeight="1" x14ac:dyDescent="0.25">
      <c r="A69" s="41" t="s">
        <v>109</v>
      </c>
      <c r="B69" s="100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44"/>
      <c r="M69" s="44"/>
      <c r="N69" s="44"/>
      <c r="O69" s="44"/>
      <c r="P69" s="28">
        <f t="shared" si="5"/>
        <v>60000</v>
      </c>
      <c r="Q69" s="28">
        <f>+'[1]EGR NOVIEMBRE 2024'!$Q$40</f>
        <v>46711.44</v>
      </c>
      <c r="R69" s="28">
        <f t="shared" si="4"/>
        <v>13288.559999999998</v>
      </c>
      <c r="S69" s="88">
        <f t="shared" si="8"/>
        <v>6.3674192556997982E-3</v>
      </c>
      <c r="T69" s="129">
        <v>8960</v>
      </c>
      <c r="U69" s="129">
        <f>+T69*12</f>
        <v>107520</v>
      </c>
      <c r="V69" s="129">
        <f>+P69-U69</f>
        <v>-47520</v>
      </c>
      <c r="W69" s="11" t="s">
        <v>286</v>
      </c>
    </row>
    <row r="70" spans="1:23" ht="32.25" customHeight="1" x14ac:dyDescent="0.25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44"/>
      <c r="M70" s="44"/>
      <c r="N70" s="44"/>
      <c r="O70" s="44"/>
      <c r="P70" s="28">
        <f t="shared" si="5"/>
        <v>144000</v>
      </c>
      <c r="Q70" s="28">
        <f>+'[1]EGR NOVIEMBRE 2024'!$Q$41</f>
        <v>55100</v>
      </c>
      <c r="R70" s="28">
        <f t="shared" si="4"/>
        <v>88900</v>
      </c>
      <c r="S70" s="88">
        <f t="shared" si="8"/>
        <v>7.5108967094368933E-3</v>
      </c>
      <c r="T70" s="11" t="s">
        <v>286</v>
      </c>
      <c r="U70" s="128">
        <v>-47520</v>
      </c>
      <c r="V70" s="129">
        <f>+P70+V69</f>
        <v>96480</v>
      </c>
    </row>
    <row r="71" spans="1:23" ht="15.95" customHeight="1" x14ac:dyDescent="0.25">
      <c r="A71" s="41" t="s">
        <v>111</v>
      </c>
      <c r="B71" s="100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44"/>
      <c r="M71" s="44"/>
      <c r="N71" s="44"/>
      <c r="O71" s="44">
        <v>8324</v>
      </c>
      <c r="P71" s="28">
        <f t="shared" si="5"/>
        <v>1176</v>
      </c>
      <c r="Q71" s="28">
        <f>+'[1]EGR NOVIEMBRE 2024'!$Q$42</f>
        <v>1176</v>
      </c>
      <c r="R71" s="28">
        <f t="shared" si="4"/>
        <v>0</v>
      </c>
      <c r="S71" s="88">
        <f t="shared" si="8"/>
        <v>1.6030516388925204E-4</v>
      </c>
    </row>
    <row r="72" spans="1:23" ht="32.25" customHeight="1" x14ac:dyDescent="0.25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44"/>
      <c r="M72" s="44"/>
      <c r="N72" s="44"/>
      <c r="O72" s="44">
        <v>24540</v>
      </c>
      <c r="P72" s="28">
        <f t="shared" si="5"/>
        <v>0</v>
      </c>
      <c r="Q72" s="28"/>
      <c r="R72" s="28">
        <f t="shared" si="4"/>
        <v>0</v>
      </c>
      <c r="S72" s="88">
        <f t="shared" si="8"/>
        <v>0</v>
      </c>
      <c r="T72" s="122">
        <v>20000</v>
      </c>
      <c r="U72" s="124"/>
      <c r="V72" s="52" t="s">
        <v>284</v>
      </c>
    </row>
    <row r="73" spans="1:23" ht="15.95" customHeight="1" x14ac:dyDescent="0.25">
      <c r="A73" s="41" t="s">
        <v>113</v>
      </c>
      <c r="B73" s="100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44"/>
      <c r="M73" s="44"/>
      <c r="N73" s="44"/>
      <c r="O73" s="44"/>
      <c r="P73" s="28">
        <f t="shared" si="5"/>
        <v>963300</v>
      </c>
      <c r="Q73" s="28">
        <f>+'[1]EGR NOVIEMBRE 2024'!$Q$44</f>
        <v>828116.22</v>
      </c>
      <c r="R73" s="28">
        <f t="shared" si="4"/>
        <v>135183.78000000003</v>
      </c>
      <c r="S73" s="88">
        <f t="shared" si="8"/>
        <v>0.11288376391704752</v>
      </c>
    </row>
    <row r="74" spans="1:23" ht="32.25" customHeight="1" x14ac:dyDescent="0.25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44"/>
      <c r="M74" s="44"/>
      <c r="N74" s="44"/>
      <c r="O74" s="44"/>
      <c r="P74" s="28">
        <f t="shared" si="5"/>
        <v>8000</v>
      </c>
      <c r="Q74" s="28"/>
      <c r="R74" s="28">
        <f t="shared" si="4"/>
        <v>8000</v>
      </c>
      <c r="S74" s="88">
        <f t="shared" si="8"/>
        <v>0</v>
      </c>
    </row>
    <row r="75" spans="1:23" ht="15.95" customHeight="1" x14ac:dyDescent="0.25">
      <c r="A75" s="41" t="s">
        <v>115</v>
      </c>
      <c r="B75" s="100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44"/>
      <c r="M75" s="44"/>
      <c r="N75" s="44"/>
      <c r="O75" s="44">
        <v>130000</v>
      </c>
      <c r="P75" s="28">
        <f t="shared" si="5"/>
        <v>0</v>
      </c>
      <c r="Q75" s="28"/>
      <c r="R75" s="28">
        <f t="shared" si="4"/>
        <v>0</v>
      </c>
      <c r="S75" s="88">
        <f t="shared" si="8"/>
        <v>0</v>
      </c>
    </row>
    <row r="76" spans="1:23" ht="15.95" customHeight="1" x14ac:dyDescent="0.25">
      <c r="A76" s="41" t="s">
        <v>116</v>
      </c>
      <c r="B76" s="100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44"/>
      <c r="M76" s="44"/>
      <c r="N76" s="44"/>
      <c r="O76" s="44"/>
      <c r="P76" s="28">
        <f t="shared" si="5"/>
        <v>8250</v>
      </c>
      <c r="Q76" s="28">
        <f>+'[1]EGR NOVIEMBRE 2024'!$Q$47</f>
        <v>6545.2999999999993</v>
      </c>
      <c r="R76" s="28">
        <f t="shared" si="4"/>
        <v>1704.7000000000007</v>
      </c>
      <c r="S76" s="88">
        <f t="shared" si="8"/>
        <v>8.9221546701047719E-4</v>
      </c>
    </row>
    <row r="77" spans="1:23" ht="15.95" customHeight="1" x14ac:dyDescent="0.25">
      <c r="A77" s="41" t="s">
        <v>117</v>
      </c>
      <c r="B77" s="100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44"/>
      <c r="M77" s="44"/>
      <c r="N77" s="44"/>
      <c r="O77" s="44"/>
      <c r="P77" s="28">
        <f t="shared" si="5"/>
        <v>2500</v>
      </c>
      <c r="Q77" s="28">
        <f>+'[1]EGR NOVIEMBRE 2024'!$Q$48</f>
        <v>1909.7300000000002</v>
      </c>
      <c r="R77" s="28">
        <f t="shared" si="4"/>
        <v>590.26999999999975</v>
      </c>
      <c r="S77" s="88">
        <f t="shared" si="8"/>
        <v>2.603227726481474E-4</v>
      </c>
    </row>
    <row r="78" spans="1:23" ht="15.95" customHeight="1" x14ac:dyDescent="0.25">
      <c r="A78" s="41" t="s">
        <v>118</v>
      </c>
      <c r="B78" s="100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44"/>
      <c r="M78" s="44"/>
      <c r="N78" s="44"/>
      <c r="O78" s="44"/>
      <c r="P78" s="28">
        <f t="shared" si="5"/>
        <v>125000</v>
      </c>
      <c r="Q78" s="28">
        <f>+'[1]EGR NOVIEMBRE 2024'!$Q$49</f>
        <v>24723.279999999999</v>
      </c>
      <c r="R78" s="28">
        <f t="shared" si="4"/>
        <v>100276.72</v>
      </c>
      <c r="S78" s="88">
        <f t="shared" si="8"/>
        <v>3.3701270852719953E-3</v>
      </c>
      <c r="T78" s="122">
        <v>-20000</v>
      </c>
      <c r="U78" s="124"/>
    </row>
    <row r="79" spans="1:23" ht="15.95" customHeight="1" x14ac:dyDescent="0.25">
      <c r="A79" s="41" t="s">
        <v>119</v>
      </c>
      <c r="B79" s="100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44"/>
      <c r="M79" s="44"/>
      <c r="N79" s="44"/>
      <c r="O79" s="44"/>
      <c r="P79" s="28">
        <f t="shared" si="5"/>
        <v>50000</v>
      </c>
      <c r="Q79" s="28">
        <f>+'[1]EGR NOVIEMBRE 2024'!$Q$50</f>
        <v>20043.830000000002</v>
      </c>
      <c r="R79" s="28">
        <f t="shared" si="4"/>
        <v>29956.17</v>
      </c>
      <c r="S79" s="88">
        <f t="shared" si="8"/>
        <v>2.7322529363250909E-3</v>
      </c>
    </row>
    <row r="80" spans="1:23" ht="15.95" customHeight="1" x14ac:dyDescent="0.25">
      <c r="A80" s="41" t="s">
        <v>178</v>
      </c>
      <c r="B80" s="100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44"/>
      <c r="M80" s="44"/>
      <c r="N80" s="44"/>
      <c r="O80" s="44">
        <v>46100</v>
      </c>
      <c r="P80" s="28">
        <f t="shared" si="5"/>
        <v>0</v>
      </c>
      <c r="Q80" s="28"/>
      <c r="R80" s="28">
        <f t="shared" si="4"/>
        <v>0</v>
      </c>
      <c r="S80" s="88">
        <f t="shared" si="8"/>
        <v>0</v>
      </c>
      <c r="W80" s="14"/>
    </row>
    <row r="81" spans="1:23" ht="15.95" customHeight="1" x14ac:dyDescent="0.25">
      <c r="A81" s="41" t="s">
        <v>120</v>
      </c>
      <c r="B81" s="100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44"/>
      <c r="M81" s="44"/>
      <c r="N81" s="44"/>
      <c r="O81" s="44">
        <v>47102.68</v>
      </c>
      <c r="P81" s="28">
        <f t="shared" si="5"/>
        <v>3897.3199999999997</v>
      </c>
      <c r="Q81" s="28">
        <f>+'[1]EGR NOVIEMBRE 2024'!$Q$52</f>
        <v>9826.74</v>
      </c>
      <c r="R81" s="28">
        <f t="shared" si="4"/>
        <v>-5929.42</v>
      </c>
      <c r="S81" s="88">
        <f t="shared" si="8"/>
        <v>1.3395213998274392E-3</v>
      </c>
      <c r="W81" s="4"/>
    </row>
    <row r="82" spans="1:23" ht="15.95" customHeight="1" x14ac:dyDescent="0.25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44"/>
      <c r="M82" s="44"/>
      <c r="N82" s="44"/>
      <c r="O82" s="44"/>
      <c r="P82" s="28">
        <f t="shared" si="5"/>
        <v>0</v>
      </c>
      <c r="Q82" s="28"/>
      <c r="R82" s="28"/>
      <c r="S82" s="88"/>
    </row>
    <row r="83" spans="1:23" ht="15.95" customHeight="1" x14ac:dyDescent="0.25">
      <c r="A83" s="39">
        <v>2</v>
      </c>
      <c r="B83" s="108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44"/>
      <c r="M83" s="44"/>
      <c r="N83" s="44"/>
      <c r="O83" s="44"/>
      <c r="P83" s="28">
        <f t="shared" si="5"/>
        <v>0</v>
      </c>
      <c r="Q83" s="28"/>
      <c r="R83" s="28"/>
      <c r="S83" s="88"/>
    </row>
    <row r="84" spans="1:23" ht="15.95" customHeight="1" x14ac:dyDescent="0.25">
      <c r="A84" s="41" t="s">
        <v>121</v>
      </c>
      <c r="B84" s="100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44"/>
      <c r="M84" s="44"/>
      <c r="N84" s="44"/>
      <c r="O84" s="44">
        <v>76797.320000000007</v>
      </c>
      <c r="P84" s="28">
        <f t="shared" si="5"/>
        <v>69986.78</v>
      </c>
      <c r="Q84" s="28">
        <f>+'[1]EGR NOVIEMBRE 2024'!$Q$53</f>
        <v>53894.75</v>
      </c>
      <c r="R84" s="28">
        <f t="shared" si="4"/>
        <v>16092.029999999999</v>
      </c>
      <c r="S84" s="88">
        <f t="shared" ref="S84:S120" si="9">Q84/$Q$144</f>
        <v>7.3466043635376406E-3</v>
      </c>
      <c r="W84" s="4"/>
    </row>
    <row r="85" spans="1:23" ht="15.95" hidden="1" customHeight="1" x14ac:dyDescent="0.25">
      <c r="A85" s="41">
        <v>214</v>
      </c>
      <c r="B85" s="100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44"/>
      <c r="M85" s="44"/>
      <c r="N85" s="44"/>
      <c r="O85" s="44"/>
      <c r="P85" s="28">
        <f t="shared" si="5"/>
        <v>0</v>
      </c>
      <c r="Q85" s="28"/>
      <c r="R85" s="28">
        <f t="shared" si="4"/>
        <v>0</v>
      </c>
      <c r="S85" s="88">
        <f t="shared" si="9"/>
        <v>0</v>
      </c>
    </row>
    <row r="86" spans="1:23" ht="15.95" customHeight="1" x14ac:dyDescent="0.25">
      <c r="A86" s="41">
        <v>223</v>
      </c>
      <c r="B86" s="100" t="s">
        <v>192</v>
      </c>
      <c r="C86" s="28">
        <v>2000</v>
      </c>
      <c r="D86" s="28"/>
      <c r="E86" s="28"/>
      <c r="F86" s="44"/>
      <c r="G86" s="44"/>
      <c r="H86" s="28">
        <v>10000</v>
      </c>
      <c r="I86" s="28"/>
      <c r="J86" s="44"/>
      <c r="K86" s="44"/>
      <c r="L86" s="44"/>
      <c r="M86" s="44"/>
      <c r="N86" s="44"/>
      <c r="O86" s="44"/>
      <c r="P86" s="28">
        <f t="shared" si="5"/>
        <v>12000</v>
      </c>
      <c r="Q86" s="28">
        <f>+'[1]EGR NOVIEMBRE 2024'!$Q$55</f>
        <v>165</v>
      </c>
      <c r="R86" s="28">
        <f t="shared" si="4"/>
        <v>11835</v>
      </c>
      <c r="S86" s="88">
        <f t="shared" si="9"/>
        <v>2.2491795953849135E-5</v>
      </c>
    </row>
    <row r="87" spans="1:23" ht="15.95" hidden="1" customHeight="1" x14ac:dyDescent="0.25">
      <c r="A87" s="41">
        <v>229</v>
      </c>
      <c r="B87" s="100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44"/>
      <c r="M87" s="44"/>
      <c r="N87" s="44"/>
      <c r="O87" s="44"/>
      <c r="P87" s="28">
        <f t="shared" si="5"/>
        <v>0</v>
      </c>
      <c r="Q87" s="28"/>
      <c r="R87" s="28">
        <f t="shared" si="4"/>
        <v>0</v>
      </c>
      <c r="S87" s="88">
        <f t="shared" si="9"/>
        <v>0</v>
      </c>
    </row>
    <row r="88" spans="1:23" ht="15.95" customHeight="1" x14ac:dyDescent="0.25">
      <c r="A88" s="41" t="s">
        <v>122</v>
      </c>
      <c r="B88" s="100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44"/>
      <c r="M88" s="44"/>
      <c r="N88" s="44"/>
      <c r="O88" s="44"/>
      <c r="P88" s="28">
        <f t="shared" si="5"/>
        <v>5000</v>
      </c>
      <c r="Q88" s="28">
        <f>+'[1]EGR NOVIEMBRE 2024'!$Q$57</f>
        <v>1054.49</v>
      </c>
      <c r="R88" s="28">
        <f t="shared" si="4"/>
        <v>3945.51</v>
      </c>
      <c r="S88" s="88">
        <f t="shared" si="9"/>
        <v>1.4374166009317803E-4</v>
      </c>
    </row>
    <row r="89" spans="1:23" ht="15.95" customHeight="1" x14ac:dyDescent="0.25">
      <c r="A89" s="41" t="s">
        <v>123</v>
      </c>
      <c r="B89" s="100" t="s">
        <v>63</v>
      </c>
      <c r="C89" s="28">
        <v>33800</v>
      </c>
      <c r="D89" s="28"/>
      <c r="E89" s="28"/>
      <c r="F89" s="44"/>
      <c r="G89" s="44"/>
      <c r="H89" s="28">
        <v>20017.62</v>
      </c>
      <c r="I89" s="28"/>
      <c r="J89" s="44">
        <v>15000</v>
      </c>
      <c r="K89" s="44"/>
      <c r="L89" s="44"/>
      <c r="M89" s="44"/>
      <c r="N89" s="44"/>
      <c r="O89" s="44"/>
      <c r="P89" s="28">
        <f t="shared" si="5"/>
        <v>68817.62</v>
      </c>
      <c r="Q89" s="28">
        <f>+'[1]EGR NOVIEMBRE 2024'!$Q$58</f>
        <v>44145.8</v>
      </c>
      <c r="R89" s="28">
        <f t="shared" si="4"/>
        <v>24671.819999999992</v>
      </c>
      <c r="S89" s="88">
        <f t="shared" si="9"/>
        <v>6.0176868231480805E-3</v>
      </c>
    </row>
    <row r="90" spans="1:23" ht="15.95" customHeight="1" x14ac:dyDescent="0.25">
      <c r="A90" s="41" t="s">
        <v>124</v>
      </c>
      <c r="B90" s="100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44"/>
      <c r="M90" s="44"/>
      <c r="N90" s="44"/>
      <c r="O90" s="44"/>
      <c r="P90" s="28">
        <f t="shared" si="5"/>
        <v>5250</v>
      </c>
      <c r="Q90" s="28">
        <f>+'[1]EGR NOVIEMBRE 2024'!$Q$59</f>
        <v>3981.4</v>
      </c>
      <c r="R90" s="28">
        <f t="shared" si="4"/>
        <v>1268.5999999999999</v>
      </c>
      <c r="S90" s="88">
        <f t="shared" si="9"/>
        <v>5.4272022067063607E-4</v>
      </c>
    </row>
    <row r="91" spans="1:23" ht="15.95" customHeight="1" x14ac:dyDescent="0.25">
      <c r="A91" s="41" t="s">
        <v>125</v>
      </c>
      <c r="B91" s="100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44"/>
      <c r="M91" s="44"/>
      <c r="N91" s="44"/>
      <c r="O91" s="44"/>
      <c r="P91" s="28">
        <f t="shared" si="5"/>
        <v>10500</v>
      </c>
      <c r="Q91" s="28">
        <f>+'[1]EGR NOVIEMBRE 2024'!$Q$60</f>
        <v>7499.1100000000015</v>
      </c>
      <c r="R91" s="28">
        <f t="shared" si="4"/>
        <v>3000.8899999999985</v>
      </c>
      <c r="S91" s="88">
        <f t="shared" si="9"/>
        <v>1.0222330421543614E-3</v>
      </c>
    </row>
    <row r="92" spans="1:23" ht="15.95" customHeight="1" x14ac:dyDescent="0.25">
      <c r="A92" s="41" t="s">
        <v>126</v>
      </c>
      <c r="B92" s="100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44"/>
      <c r="M92" s="44"/>
      <c r="N92" s="44"/>
      <c r="O92" s="44"/>
      <c r="P92" s="28">
        <f t="shared" si="5"/>
        <v>3050</v>
      </c>
      <c r="Q92" s="28">
        <f>+'[1]EGR NOVIEMBRE 2024'!$Q$61</f>
        <v>1943.1499999999999</v>
      </c>
      <c r="R92" s="28">
        <f t="shared" si="4"/>
        <v>1106.8500000000001</v>
      </c>
      <c r="S92" s="88">
        <f t="shared" si="9"/>
        <v>2.6487838368316333E-4</v>
      </c>
    </row>
    <row r="93" spans="1:23" ht="15.95" customHeight="1" x14ac:dyDescent="0.25">
      <c r="A93" s="41" t="s">
        <v>127</v>
      </c>
      <c r="B93" s="100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44"/>
      <c r="M93" s="44"/>
      <c r="N93" s="44"/>
      <c r="O93" s="44"/>
      <c r="P93" s="28">
        <f t="shared" si="5"/>
        <v>875</v>
      </c>
      <c r="Q93" s="28"/>
      <c r="R93" s="28">
        <f t="shared" si="4"/>
        <v>875</v>
      </c>
      <c r="S93" s="88">
        <f t="shared" si="9"/>
        <v>0</v>
      </c>
    </row>
    <row r="94" spans="1:23" ht="15.95" customHeight="1" x14ac:dyDescent="0.25">
      <c r="A94" s="41" t="s">
        <v>128</v>
      </c>
      <c r="B94" s="100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44"/>
      <c r="M94" s="44"/>
      <c r="N94" s="44"/>
      <c r="O94" s="44"/>
      <c r="P94" s="28">
        <f t="shared" si="5"/>
        <v>5500</v>
      </c>
      <c r="Q94" s="28"/>
      <c r="R94" s="28">
        <f t="shared" si="4"/>
        <v>5500</v>
      </c>
      <c r="S94" s="88">
        <f t="shared" si="9"/>
        <v>0</v>
      </c>
    </row>
    <row r="95" spans="1:23" ht="15.95" customHeight="1" x14ac:dyDescent="0.25">
      <c r="A95" s="41" t="s">
        <v>129</v>
      </c>
      <c r="B95" s="100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44"/>
      <c r="M95" s="44"/>
      <c r="N95" s="44"/>
      <c r="O95" s="44"/>
      <c r="P95" s="28">
        <f t="shared" si="5"/>
        <v>2700</v>
      </c>
      <c r="Q95" s="28">
        <f>+'[1]EGR NOVIEMBRE 2024'!$Q$64</f>
        <v>2697.65</v>
      </c>
      <c r="R95" s="28">
        <f t="shared" si="4"/>
        <v>2.3499999999999091</v>
      </c>
      <c r="S95" s="88">
        <f t="shared" si="9"/>
        <v>3.6772723245394621E-4</v>
      </c>
    </row>
    <row r="96" spans="1:23" ht="15.95" customHeight="1" x14ac:dyDescent="0.25">
      <c r="A96" s="41" t="s">
        <v>196</v>
      </c>
      <c r="B96" s="100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44"/>
      <c r="M96" s="44"/>
      <c r="N96" s="44"/>
      <c r="O96" s="44"/>
      <c r="P96" s="28">
        <f t="shared" ref="P96:P143" si="10">+C96+D96-E96+F96-G96+H96-I96+J96-K96+L96-M96+N96-O96</f>
        <v>2800</v>
      </c>
      <c r="Q96" s="28">
        <f>+'[1]EGR NOVIEMBRE 2024'!$Q$65</f>
        <v>761</v>
      </c>
      <c r="R96" s="28">
        <f t="shared" si="4"/>
        <v>2039</v>
      </c>
      <c r="S96" s="88">
        <f t="shared" si="9"/>
        <v>1.0373488921744965E-4</v>
      </c>
    </row>
    <row r="97" spans="1:22" ht="15.95" customHeight="1" x14ac:dyDescent="0.25">
      <c r="A97" s="41" t="s">
        <v>130</v>
      </c>
      <c r="B97" s="100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44"/>
      <c r="M97" s="44"/>
      <c r="N97" s="44"/>
      <c r="O97" s="44"/>
      <c r="P97" s="28">
        <f t="shared" si="10"/>
        <v>8500</v>
      </c>
      <c r="Q97" s="28">
        <f>+'[1]EGR NOVIEMBRE 2024'!$Q$66</f>
        <v>7114.37</v>
      </c>
      <c r="R97" s="28">
        <f t="shared" si="4"/>
        <v>1385.63</v>
      </c>
      <c r="S97" s="88">
        <f t="shared" si="9"/>
        <v>9.6978762654657987E-4</v>
      </c>
    </row>
    <row r="98" spans="1:22" ht="15.95" customHeight="1" x14ac:dyDescent="0.25">
      <c r="A98" s="41" t="s">
        <v>131</v>
      </c>
      <c r="B98" s="100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44"/>
      <c r="M98" s="44"/>
      <c r="N98" s="44"/>
      <c r="O98" s="44"/>
      <c r="P98" s="28">
        <f t="shared" si="10"/>
        <v>6000</v>
      </c>
      <c r="Q98" s="28">
        <f>+'[1]EGR NOVIEMBRE 2024'!$Q$67</f>
        <v>777.5</v>
      </c>
      <c r="R98" s="28">
        <f t="shared" si="4"/>
        <v>5222.5</v>
      </c>
      <c r="S98" s="88">
        <f t="shared" si="9"/>
        <v>1.0598406881283456E-4</v>
      </c>
    </row>
    <row r="99" spans="1:22" ht="15.95" customHeight="1" x14ac:dyDescent="0.25">
      <c r="A99" s="41" t="s">
        <v>132</v>
      </c>
      <c r="B99" s="100" t="s">
        <v>69</v>
      </c>
      <c r="C99" s="28">
        <v>17500</v>
      </c>
      <c r="D99" s="28"/>
      <c r="E99" s="28"/>
      <c r="F99" s="44"/>
      <c r="G99" s="44"/>
      <c r="H99" s="28"/>
      <c r="I99" s="28"/>
      <c r="J99" s="44">
        <v>50000</v>
      </c>
      <c r="K99" s="44"/>
      <c r="L99" s="44"/>
      <c r="M99" s="44"/>
      <c r="N99" s="44"/>
      <c r="O99" s="44"/>
      <c r="P99" s="28">
        <f t="shared" si="10"/>
        <v>67500</v>
      </c>
      <c r="Q99" s="28">
        <f>+'[1]EGR NOVIEMBRE 2024'!$Q$68</f>
        <v>13103.85</v>
      </c>
      <c r="R99" s="28">
        <f t="shared" si="4"/>
        <v>54396.15</v>
      </c>
      <c r="S99" s="88">
        <f t="shared" si="9"/>
        <v>1.7862370933930062E-3</v>
      </c>
    </row>
    <row r="100" spans="1:22" ht="15.95" customHeight="1" x14ac:dyDescent="0.25">
      <c r="A100" s="41" t="s">
        <v>133</v>
      </c>
      <c r="B100" s="100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44">
        <v>5000</v>
      </c>
      <c r="M100" s="44"/>
      <c r="N100" s="44"/>
      <c r="O100" s="44"/>
      <c r="P100" s="28">
        <f t="shared" si="10"/>
        <v>8000</v>
      </c>
      <c r="Q100" s="28">
        <f>+'[1]EGR NOVIEMBRE 2024'!$Q$69</f>
        <v>5732.56</v>
      </c>
      <c r="R100" s="28">
        <f t="shared" si="4"/>
        <v>2267.4399999999996</v>
      </c>
      <c r="S100" s="88">
        <f t="shared" si="9"/>
        <v>7.8142769583756011E-4</v>
      </c>
    </row>
    <row r="101" spans="1:22" ht="15.95" customHeight="1" x14ac:dyDescent="0.25">
      <c r="A101" s="41" t="s">
        <v>134</v>
      </c>
      <c r="B101" s="100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44"/>
      <c r="M101" s="44"/>
      <c r="N101" s="44"/>
      <c r="O101" s="44"/>
      <c r="P101" s="28">
        <f t="shared" si="10"/>
        <v>1500</v>
      </c>
      <c r="Q101" s="28">
        <f>+'[1]EGR NOVIEMBRE 2024'!$Q$70</f>
        <v>588</v>
      </c>
      <c r="R101" s="28">
        <f t="shared" ref="R101:R139" si="11">P101-Q101</f>
        <v>912</v>
      </c>
      <c r="S101" s="88">
        <f t="shared" si="9"/>
        <v>8.015258194462602E-5</v>
      </c>
    </row>
    <row r="102" spans="1:22" ht="15.95" customHeight="1" x14ac:dyDescent="0.25">
      <c r="A102" s="41" t="s">
        <v>135</v>
      </c>
      <c r="B102" s="100" t="s">
        <v>70</v>
      </c>
      <c r="C102" s="28">
        <v>181653.08</v>
      </c>
      <c r="D102" s="28"/>
      <c r="E102" s="28"/>
      <c r="F102" s="44"/>
      <c r="G102" s="44"/>
      <c r="H102" s="28">
        <v>100000</v>
      </c>
      <c r="I102" s="28"/>
      <c r="J102" s="44"/>
      <c r="K102" s="44">
        <v>122000</v>
      </c>
      <c r="L102" s="44"/>
      <c r="M102" s="44"/>
      <c r="N102" s="44"/>
      <c r="O102" s="44"/>
      <c r="P102" s="28">
        <f t="shared" si="10"/>
        <v>159653.07999999996</v>
      </c>
      <c r="Q102" s="28"/>
      <c r="R102" s="28">
        <f t="shared" si="11"/>
        <v>159653.07999999996</v>
      </c>
      <c r="S102" s="88">
        <f t="shared" si="9"/>
        <v>0</v>
      </c>
      <c r="T102" s="122">
        <v>300000</v>
      </c>
      <c r="U102" s="125">
        <f>+T102-R102</f>
        <v>140346.92000000004</v>
      </c>
      <c r="V102" s="126">
        <v>2025</v>
      </c>
    </row>
    <row r="103" spans="1:22" ht="15.95" hidden="1" customHeight="1" x14ac:dyDescent="0.25">
      <c r="A103" s="41">
        <v>272</v>
      </c>
      <c r="B103" s="100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44"/>
      <c r="M103" s="44"/>
      <c r="N103" s="44"/>
      <c r="O103" s="44"/>
      <c r="P103" s="28">
        <f t="shared" si="10"/>
        <v>0</v>
      </c>
      <c r="Q103" s="28"/>
      <c r="R103" s="28">
        <f t="shared" si="11"/>
        <v>0</v>
      </c>
      <c r="S103" s="88">
        <f t="shared" si="9"/>
        <v>0</v>
      </c>
    </row>
    <row r="104" spans="1:22" ht="15.95" hidden="1" customHeight="1" x14ac:dyDescent="0.25">
      <c r="A104" s="41" t="s">
        <v>136</v>
      </c>
      <c r="B104" s="100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44"/>
      <c r="M104" s="44"/>
      <c r="N104" s="44"/>
      <c r="O104" s="44"/>
      <c r="P104" s="28">
        <f t="shared" si="10"/>
        <v>0</v>
      </c>
      <c r="Q104" s="28"/>
      <c r="R104" s="28">
        <f t="shared" si="11"/>
        <v>0</v>
      </c>
      <c r="S104" s="88">
        <f t="shared" si="9"/>
        <v>0</v>
      </c>
    </row>
    <row r="105" spans="1:22" ht="15.95" customHeight="1" x14ac:dyDescent="0.25">
      <c r="A105" s="41">
        <v>274</v>
      </c>
      <c r="B105" s="100" t="s">
        <v>71</v>
      </c>
      <c r="C105" s="28">
        <v>1500</v>
      </c>
      <c r="D105" s="28"/>
      <c r="E105" s="28"/>
      <c r="F105" s="44"/>
      <c r="G105" s="44"/>
      <c r="H105" s="28">
        <v>10000</v>
      </c>
      <c r="I105" s="28"/>
      <c r="J105" s="44"/>
      <c r="K105" s="44"/>
      <c r="L105" s="44"/>
      <c r="M105" s="44"/>
      <c r="N105" s="44"/>
      <c r="O105" s="44"/>
      <c r="P105" s="28">
        <f t="shared" si="10"/>
        <v>11500</v>
      </c>
      <c r="Q105" s="28">
        <f>+'[1]EGR NOVIEMBRE 2024'!$Q$74</f>
        <v>486</v>
      </c>
      <c r="R105" s="28">
        <f t="shared" si="11"/>
        <v>11014</v>
      </c>
      <c r="S105" s="88">
        <f t="shared" si="9"/>
        <v>6.6248562627701095E-5</v>
      </c>
    </row>
    <row r="106" spans="1:22" ht="15.95" hidden="1" customHeight="1" x14ac:dyDescent="0.25">
      <c r="A106" s="41">
        <v>275</v>
      </c>
      <c r="B106" s="100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44"/>
      <c r="M106" s="44"/>
      <c r="N106" s="44"/>
      <c r="O106" s="44"/>
      <c r="P106" s="28">
        <f t="shared" si="10"/>
        <v>0</v>
      </c>
      <c r="Q106" s="28"/>
      <c r="R106" s="28">
        <f t="shared" si="11"/>
        <v>0</v>
      </c>
      <c r="S106" s="88">
        <f t="shared" si="9"/>
        <v>0</v>
      </c>
    </row>
    <row r="107" spans="1:22" ht="15.95" customHeight="1" x14ac:dyDescent="0.25">
      <c r="A107" s="41">
        <v>279</v>
      </c>
      <c r="B107" s="100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44"/>
      <c r="M107" s="44"/>
      <c r="N107" s="44"/>
      <c r="O107" s="44"/>
      <c r="P107" s="28">
        <f t="shared" si="10"/>
        <v>750</v>
      </c>
      <c r="Q107" s="28"/>
      <c r="R107" s="28">
        <f t="shared" si="11"/>
        <v>750</v>
      </c>
      <c r="S107" s="88">
        <f t="shared" si="9"/>
        <v>0</v>
      </c>
    </row>
    <row r="108" spans="1:22" ht="15.95" hidden="1" customHeight="1" x14ac:dyDescent="0.25">
      <c r="A108" s="41">
        <v>281</v>
      </c>
      <c r="B108" s="100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44"/>
      <c r="M108" s="44"/>
      <c r="N108" s="44"/>
      <c r="O108" s="44"/>
      <c r="P108" s="28">
        <f t="shared" si="10"/>
        <v>0</v>
      </c>
      <c r="Q108" s="28"/>
      <c r="R108" s="28">
        <f t="shared" si="11"/>
        <v>0</v>
      </c>
      <c r="S108" s="88">
        <f t="shared" si="9"/>
        <v>0</v>
      </c>
    </row>
    <row r="109" spans="1:22" ht="15.95" customHeight="1" x14ac:dyDescent="0.25">
      <c r="A109" s="41" t="s">
        <v>137</v>
      </c>
      <c r="B109" s="100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44"/>
      <c r="M109" s="44"/>
      <c r="N109" s="44"/>
      <c r="O109" s="44"/>
      <c r="P109" s="28">
        <f t="shared" si="10"/>
        <v>4800</v>
      </c>
      <c r="Q109" s="28">
        <f>+'[1]EGR NOVIEMBRE 2024'!$Q$78</f>
        <v>278.55</v>
      </c>
      <c r="R109" s="28">
        <f t="shared" si="11"/>
        <v>4521.45</v>
      </c>
      <c r="S109" s="88">
        <f t="shared" si="9"/>
        <v>3.7970240987543496E-5</v>
      </c>
    </row>
    <row r="110" spans="1:22" ht="15.95" customHeight="1" x14ac:dyDescent="0.25">
      <c r="A110" s="41" t="s">
        <v>138</v>
      </c>
      <c r="B110" s="100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44"/>
      <c r="M110" s="44"/>
      <c r="N110" s="44"/>
      <c r="O110" s="44"/>
      <c r="P110" s="28">
        <f t="shared" si="10"/>
        <v>28800</v>
      </c>
      <c r="Q110" s="28">
        <f>+'[1]EGR NOVIEMBRE 2024'!$Q$79</f>
        <v>1923.54</v>
      </c>
      <c r="R110" s="28">
        <f t="shared" si="11"/>
        <v>26876.46</v>
      </c>
      <c r="S110" s="88">
        <f t="shared" si="9"/>
        <v>2.6220526781252709E-4</v>
      </c>
    </row>
    <row r="111" spans="1:22" ht="15.95" customHeight="1" x14ac:dyDescent="0.25">
      <c r="A111" s="41" t="s">
        <v>139</v>
      </c>
      <c r="B111" s="100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44"/>
      <c r="M111" s="44"/>
      <c r="N111" s="44"/>
      <c r="O111" s="44"/>
      <c r="P111" s="28">
        <f t="shared" si="10"/>
        <v>1300000</v>
      </c>
      <c r="Q111" s="28">
        <f>+'[1]EGR NOVIEMBRE 2024'!$Q$80</f>
        <v>1088331</v>
      </c>
      <c r="R111" s="28">
        <f t="shared" si="11"/>
        <v>211669</v>
      </c>
      <c r="S111" s="88">
        <f t="shared" si="9"/>
        <v>0.14835465928635505</v>
      </c>
    </row>
    <row r="112" spans="1:22" ht="15.95" customHeight="1" x14ac:dyDescent="0.25">
      <c r="A112" s="41">
        <v>286</v>
      </c>
      <c r="B112" s="100" t="s">
        <v>207</v>
      </c>
      <c r="C112" s="28">
        <v>1500</v>
      </c>
      <c r="D112" s="28"/>
      <c r="E112" s="28"/>
      <c r="F112" s="44"/>
      <c r="G112" s="44"/>
      <c r="H112" s="28">
        <v>3000</v>
      </c>
      <c r="I112" s="28"/>
      <c r="J112" s="44"/>
      <c r="K112" s="44"/>
      <c r="L112" s="44"/>
      <c r="M112" s="44"/>
      <c r="N112" s="44"/>
      <c r="O112" s="44"/>
      <c r="P112" s="28">
        <f t="shared" si="10"/>
        <v>4500</v>
      </c>
      <c r="Q112" s="28">
        <f>+'[1]EGR NOVIEMBRE 2024'!$Q$81</f>
        <v>216</v>
      </c>
      <c r="R112" s="28">
        <f t="shared" si="11"/>
        <v>4284</v>
      </c>
      <c r="S112" s="88">
        <f t="shared" si="9"/>
        <v>2.9443805612311598E-5</v>
      </c>
    </row>
    <row r="113" spans="1:19" ht="15.95" hidden="1" customHeight="1" x14ac:dyDescent="0.25">
      <c r="A113" s="41">
        <v>289</v>
      </c>
      <c r="B113" s="100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44"/>
      <c r="M113" s="44"/>
      <c r="N113" s="44"/>
      <c r="O113" s="44"/>
      <c r="P113" s="28">
        <f t="shared" si="10"/>
        <v>0</v>
      </c>
      <c r="Q113" s="28"/>
      <c r="R113" s="28">
        <f t="shared" si="11"/>
        <v>0</v>
      </c>
      <c r="S113" s="88">
        <f t="shared" si="9"/>
        <v>0</v>
      </c>
    </row>
    <row r="114" spans="1:19" ht="15.95" customHeight="1" x14ac:dyDescent="0.25">
      <c r="A114" s="41" t="s">
        <v>140</v>
      </c>
      <c r="B114" s="100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44"/>
      <c r="M114" s="44"/>
      <c r="N114" s="44"/>
      <c r="O114" s="44"/>
      <c r="P114" s="28">
        <f t="shared" si="10"/>
        <v>6600</v>
      </c>
      <c r="Q114" s="28">
        <f>+'[1]EGR NOVIEMBRE 2024'!$Q$83</f>
        <v>4235.42</v>
      </c>
      <c r="R114" s="28">
        <f t="shared" si="11"/>
        <v>2364.58</v>
      </c>
      <c r="S114" s="88">
        <f t="shared" si="9"/>
        <v>5.7734668132637397E-4</v>
      </c>
    </row>
    <row r="115" spans="1:19" ht="33" customHeight="1" x14ac:dyDescent="0.25">
      <c r="A115" s="41" t="s">
        <v>141</v>
      </c>
      <c r="B115" s="100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44"/>
      <c r="M115" s="44"/>
      <c r="N115" s="44"/>
      <c r="O115" s="44"/>
      <c r="P115" s="28">
        <f t="shared" si="10"/>
        <v>4000</v>
      </c>
      <c r="Q115" s="28">
        <f>+'[1]EGR NOVIEMBRE 2024'!$Q$84</f>
        <v>2084.1400000000003</v>
      </c>
      <c r="R115" s="28">
        <f t="shared" si="11"/>
        <v>1915.8599999999997</v>
      </c>
      <c r="S115" s="88">
        <f t="shared" si="9"/>
        <v>2.8409728254094027E-4</v>
      </c>
    </row>
    <row r="116" spans="1:19" ht="15.95" customHeight="1" x14ac:dyDescent="0.25">
      <c r="A116" s="41" t="s">
        <v>142</v>
      </c>
      <c r="B116" s="100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44"/>
      <c r="M116" s="44"/>
      <c r="N116" s="44"/>
      <c r="O116" s="44"/>
      <c r="P116" s="28">
        <f t="shared" si="10"/>
        <v>25251.9</v>
      </c>
      <c r="Q116" s="28">
        <f>+'[1]EGR NOVIEMBRE 2024'!$Q$85</f>
        <v>21775.07</v>
      </c>
      <c r="R116" s="28">
        <f t="shared" si="11"/>
        <v>3476.8300000000017</v>
      </c>
      <c r="S116" s="88">
        <f t="shared" si="9"/>
        <v>2.968245038307768E-3</v>
      </c>
    </row>
    <row r="117" spans="1:19" ht="15.95" customHeight="1" x14ac:dyDescent="0.25">
      <c r="A117" s="41" t="s">
        <v>143</v>
      </c>
      <c r="B117" s="100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44"/>
      <c r="M117" s="44"/>
      <c r="N117" s="44"/>
      <c r="O117" s="44"/>
      <c r="P117" s="28">
        <f t="shared" si="10"/>
        <v>2000</v>
      </c>
      <c r="Q117" s="28"/>
      <c r="R117" s="28">
        <f t="shared" si="11"/>
        <v>2000</v>
      </c>
      <c r="S117" s="88">
        <f t="shared" si="9"/>
        <v>0</v>
      </c>
    </row>
    <row r="118" spans="1:19" ht="51" customHeight="1" x14ac:dyDescent="0.25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>
        <v>20500</v>
      </c>
      <c r="I118" s="28"/>
      <c r="J118" s="44"/>
      <c r="K118" s="44"/>
      <c r="L118" s="44"/>
      <c r="M118" s="44"/>
      <c r="N118" s="44"/>
      <c r="O118" s="44"/>
      <c r="P118" s="28">
        <f t="shared" si="10"/>
        <v>30000</v>
      </c>
      <c r="Q118" s="28">
        <f>+'[1]EGR NOVIEMBRE 2024'!$Q$87</f>
        <v>1044.8499999999999</v>
      </c>
      <c r="R118" s="28">
        <f t="shared" si="11"/>
        <v>28955.15</v>
      </c>
      <c r="S118" s="88">
        <f t="shared" si="9"/>
        <v>1.4242759395381374E-4</v>
      </c>
    </row>
    <row r="119" spans="1:19" ht="15.95" customHeight="1" x14ac:dyDescent="0.25">
      <c r="A119" s="41" t="s">
        <v>145</v>
      </c>
      <c r="B119" s="100" t="s">
        <v>77</v>
      </c>
      <c r="C119" s="28">
        <v>76000</v>
      </c>
      <c r="D119" s="28"/>
      <c r="E119" s="28"/>
      <c r="F119" s="44"/>
      <c r="G119" s="44"/>
      <c r="H119" s="28">
        <v>75000</v>
      </c>
      <c r="I119" s="28"/>
      <c r="J119" s="44">
        <v>49000</v>
      </c>
      <c r="K119" s="44"/>
      <c r="L119" s="44"/>
      <c r="M119" s="44"/>
      <c r="N119" s="44">
        <f>+N19</f>
        <v>276759.92</v>
      </c>
      <c r="O119" s="44"/>
      <c r="P119" s="28">
        <f t="shared" si="10"/>
        <v>476759.92</v>
      </c>
      <c r="Q119" s="28">
        <f>+'[1]EGR NOVIEMBRE 2024'!$Q$88</f>
        <v>131986.79999999999</v>
      </c>
      <c r="R119" s="28">
        <f t="shared" si="11"/>
        <v>344773.12</v>
      </c>
      <c r="S119" s="88">
        <f t="shared" si="9"/>
        <v>1.7991637419403E-2</v>
      </c>
    </row>
    <row r="120" spans="1:19" ht="15.95" customHeight="1" x14ac:dyDescent="0.25">
      <c r="A120" s="41" t="s">
        <v>146</v>
      </c>
      <c r="B120" s="100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44"/>
      <c r="M120" s="44"/>
      <c r="N120" s="44"/>
      <c r="O120" s="44"/>
      <c r="P120" s="28">
        <f t="shared" si="10"/>
        <v>9500</v>
      </c>
      <c r="Q120" s="28">
        <f>+'[1]EGR NOVIEMBRE 2024'!$Q$89</f>
        <v>9419.43</v>
      </c>
      <c r="R120" s="28">
        <f t="shared" si="11"/>
        <v>80.569999999999709</v>
      </c>
      <c r="S120" s="88">
        <f t="shared" si="9"/>
        <v>1.2839993791610011E-3</v>
      </c>
    </row>
    <row r="121" spans="1:19" ht="15.95" customHeight="1" x14ac:dyDescent="0.25">
      <c r="A121" s="41"/>
      <c r="B121" s="100"/>
      <c r="C121" s="28"/>
      <c r="D121" s="28"/>
      <c r="E121" s="28"/>
      <c r="F121" s="44"/>
      <c r="G121" s="44"/>
      <c r="H121" s="28"/>
      <c r="I121" s="28"/>
      <c r="J121" s="44"/>
      <c r="K121" s="44"/>
      <c r="L121" s="44"/>
      <c r="M121" s="44"/>
      <c r="N121" s="44"/>
      <c r="O121" s="44"/>
      <c r="P121" s="28">
        <f t="shared" si="10"/>
        <v>0</v>
      </c>
      <c r="Q121" s="28"/>
      <c r="R121" s="28"/>
      <c r="S121" s="88"/>
    </row>
    <row r="122" spans="1:19" ht="15.95" customHeight="1" x14ac:dyDescent="0.25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44"/>
      <c r="M122" s="44"/>
      <c r="N122" s="44"/>
      <c r="O122" s="44"/>
      <c r="P122" s="28">
        <f t="shared" si="10"/>
        <v>0</v>
      </c>
      <c r="Q122" s="28"/>
      <c r="R122" s="28"/>
      <c r="S122" s="88"/>
    </row>
    <row r="123" spans="1:19" ht="15.95" customHeight="1" x14ac:dyDescent="0.25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44"/>
      <c r="M123" s="44"/>
      <c r="N123" s="44"/>
      <c r="O123" s="44"/>
      <c r="P123" s="28">
        <f t="shared" si="10"/>
        <v>0</v>
      </c>
      <c r="Q123" s="28"/>
      <c r="R123" s="28"/>
      <c r="S123" s="88"/>
    </row>
    <row r="124" spans="1:19" ht="15.95" customHeight="1" x14ac:dyDescent="0.25">
      <c r="A124" s="39">
        <v>3</v>
      </c>
      <c r="B124" s="108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44"/>
      <c r="M124" s="44"/>
      <c r="N124" s="44"/>
      <c r="O124" s="44"/>
      <c r="P124" s="28">
        <f t="shared" si="10"/>
        <v>0</v>
      </c>
      <c r="Q124" s="28"/>
      <c r="R124" s="28"/>
      <c r="S124" s="88"/>
    </row>
    <row r="125" spans="1:19" ht="15.95" customHeight="1" x14ac:dyDescent="0.25">
      <c r="A125" s="42" t="s">
        <v>211</v>
      </c>
      <c r="B125" s="109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44"/>
      <c r="M125" s="44"/>
      <c r="N125" s="44"/>
      <c r="O125" s="44"/>
      <c r="P125" s="28">
        <f t="shared" si="10"/>
        <v>10000</v>
      </c>
      <c r="Q125" s="28"/>
      <c r="R125" s="28">
        <f t="shared" si="11"/>
        <v>10000</v>
      </c>
      <c r="S125" s="88">
        <f>Q125/$Q$144</f>
        <v>0</v>
      </c>
    </row>
    <row r="126" spans="1:19" ht="33" customHeight="1" x14ac:dyDescent="0.25">
      <c r="A126" s="42" t="s">
        <v>80</v>
      </c>
      <c r="B126" s="109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44"/>
      <c r="M126" s="44"/>
      <c r="N126" s="44"/>
      <c r="O126" s="44"/>
      <c r="P126" s="28">
        <f t="shared" si="10"/>
        <v>0</v>
      </c>
      <c r="Q126" s="28"/>
      <c r="R126" s="28">
        <f t="shared" si="11"/>
        <v>0</v>
      </c>
      <c r="S126" s="88">
        <f>Q126/$Q$144</f>
        <v>0</v>
      </c>
    </row>
    <row r="127" spans="1:19" ht="15.95" customHeight="1" x14ac:dyDescent="0.25">
      <c r="A127" s="42" t="s">
        <v>214</v>
      </c>
      <c r="B127" s="109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44"/>
      <c r="M127" s="44"/>
      <c r="N127" s="44"/>
      <c r="O127" s="44"/>
      <c r="P127" s="28">
        <f t="shared" si="10"/>
        <v>304035</v>
      </c>
      <c r="Q127" s="28"/>
      <c r="R127" s="28">
        <f t="shared" si="11"/>
        <v>304035</v>
      </c>
      <c r="S127" s="88">
        <f>Q127/$Q$144</f>
        <v>0</v>
      </c>
    </row>
    <row r="128" spans="1:19" ht="15.95" customHeight="1" x14ac:dyDescent="0.25">
      <c r="A128" s="42">
        <v>325</v>
      </c>
      <c r="B128" s="109" t="s">
        <v>268</v>
      </c>
      <c r="C128" s="44"/>
      <c r="D128" s="28"/>
      <c r="E128" s="28"/>
      <c r="F128" s="44"/>
      <c r="G128" s="44"/>
      <c r="H128" s="28">
        <v>25000</v>
      </c>
      <c r="I128" s="28"/>
      <c r="J128" s="44"/>
      <c r="K128" s="44"/>
      <c r="L128" s="44"/>
      <c r="M128" s="44"/>
      <c r="N128" s="44"/>
      <c r="O128" s="44"/>
      <c r="P128" s="28">
        <f t="shared" si="10"/>
        <v>25000</v>
      </c>
      <c r="Q128" s="28">
        <f>+'[1]EGR NOVIEMBRE 2024'!$Q$93</f>
        <v>11490</v>
      </c>
      <c r="R128" s="28">
        <f t="shared" si="11"/>
        <v>13510</v>
      </c>
      <c r="S128" s="88">
        <f>Q128/$Q$144</f>
        <v>1.5662468818771309E-3</v>
      </c>
    </row>
    <row r="129" spans="1:19" ht="15.95" customHeight="1" x14ac:dyDescent="0.25">
      <c r="A129" s="42" t="s">
        <v>216</v>
      </c>
      <c r="B129" s="109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44"/>
      <c r="M129" s="44"/>
      <c r="N129" s="44"/>
      <c r="O129" s="44"/>
      <c r="P129" s="28">
        <f t="shared" si="10"/>
        <v>1500</v>
      </c>
      <c r="Q129" s="28">
        <f>+'[1]EGR NOVIEMBRE 2024'!$Q$94</f>
        <v>1060.02</v>
      </c>
      <c r="R129" s="28">
        <f t="shared" si="11"/>
        <v>439.98</v>
      </c>
      <c r="S129" s="88">
        <f>Q129/$Q$144</f>
        <v>1.4449547604241915E-4</v>
      </c>
    </row>
    <row r="130" spans="1:19" ht="15.95" customHeight="1" x14ac:dyDescent="0.25">
      <c r="A130" s="42">
        <v>328</v>
      </c>
      <c r="B130" s="109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44"/>
      <c r="M130" s="44"/>
      <c r="N130" s="44"/>
      <c r="O130" s="44"/>
      <c r="P130" s="28">
        <f t="shared" si="10"/>
        <v>40000</v>
      </c>
      <c r="Q130" s="28">
        <f>+'[1]EGR NOVIEMBRE 2024'!$Q$95</f>
        <v>6945</v>
      </c>
      <c r="R130" s="28">
        <f t="shared" si="11"/>
        <v>33055</v>
      </c>
      <c r="S130" s="88">
        <f>+Q130/Q144</f>
        <v>9.4670013878474094E-4</v>
      </c>
    </row>
    <row r="131" spans="1:19" ht="15.95" customHeight="1" x14ac:dyDescent="0.25">
      <c r="A131" s="42" t="s">
        <v>218</v>
      </c>
      <c r="B131" s="109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44"/>
      <c r="M131" s="44"/>
      <c r="N131" s="44"/>
      <c r="O131" s="44"/>
      <c r="P131" s="28">
        <f t="shared" si="10"/>
        <v>14300</v>
      </c>
      <c r="Q131" s="28">
        <f>+'[1]EGR NOVIEMBRE 2024'!$Q$96</f>
        <v>6622</v>
      </c>
      <c r="R131" s="28">
        <f t="shared" si="11"/>
        <v>7678</v>
      </c>
      <c r="S131" s="88">
        <f>Q131/$Q$144</f>
        <v>9.0267074428114534E-4</v>
      </c>
    </row>
    <row r="132" spans="1:19" ht="15.95" hidden="1" customHeight="1" x14ac:dyDescent="0.25">
      <c r="A132" s="42" t="s">
        <v>220</v>
      </c>
      <c r="B132" s="109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44"/>
      <c r="M132" s="44"/>
      <c r="N132" s="44"/>
      <c r="O132" s="44"/>
      <c r="P132" s="28">
        <f t="shared" si="10"/>
        <v>0</v>
      </c>
      <c r="Q132" s="28"/>
      <c r="R132" s="28">
        <f t="shared" si="11"/>
        <v>0</v>
      </c>
      <c r="S132" s="88">
        <f>Q132/$Q$144</f>
        <v>0</v>
      </c>
    </row>
    <row r="133" spans="1:19" ht="15.95" customHeight="1" x14ac:dyDescent="0.25">
      <c r="A133" s="42"/>
      <c r="B133" s="109"/>
      <c r="C133" s="44"/>
      <c r="D133" s="28"/>
      <c r="E133" s="28"/>
      <c r="F133" s="44"/>
      <c r="G133" s="44"/>
      <c r="H133" s="28"/>
      <c r="I133" s="28"/>
      <c r="J133" s="44"/>
      <c r="K133" s="44"/>
      <c r="L133" s="44"/>
      <c r="M133" s="44"/>
      <c r="N133" s="44"/>
      <c r="O133" s="44"/>
      <c r="P133" s="28">
        <f t="shared" si="10"/>
        <v>0</v>
      </c>
      <c r="Q133" s="28"/>
      <c r="R133" s="28"/>
      <c r="S133" s="88"/>
    </row>
    <row r="134" spans="1:19" ht="15.95" customHeight="1" x14ac:dyDescent="0.25">
      <c r="A134" s="41"/>
      <c r="B134" s="100"/>
      <c r="C134" s="28"/>
      <c r="D134" s="28"/>
      <c r="E134" s="28"/>
      <c r="F134" s="44"/>
      <c r="G134" s="44"/>
      <c r="H134" s="28"/>
      <c r="I134" s="28"/>
      <c r="J134" s="44"/>
      <c r="K134" s="44"/>
      <c r="L134" s="44"/>
      <c r="M134" s="44"/>
      <c r="N134" s="44"/>
      <c r="O134" s="44"/>
      <c r="P134" s="28">
        <f t="shared" si="10"/>
        <v>0</v>
      </c>
      <c r="Q134" s="28"/>
      <c r="R134" s="28"/>
      <c r="S134" s="88"/>
    </row>
    <row r="135" spans="1:19" ht="15.95" customHeight="1" x14ac:dyDescent="0.25">
      <c r="A135" s="39">
        <v>4</v>
      </c>
      <c r="B135" s="108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44"/>
      <c r="M135" s="44"/>
      <c r="N135" s="44"/>
      <c r="O135" s="44"/>
      <c r="P135" s="28">
        <f t="shared" si="10"/>
        <v>0</v>
      </c>
      <c r="Q135" s="28"/>
      <c r="R135" s="28"/>
      <c r="S135" s="88"/>
    </row>
    <row r="136" spans="1:19" ht="15.95" customHeight="1" x14ac:dyDescent="0.25">
      <c r="A136" s="41" t="s">
        <v>222</v>
      </c>
      <c r="B136" s="100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44"/>
      <c r="M136" s="44"/>
      <c r="N136" s="44"/>
      <c r="O136" s="44">
        <v>855</v>
      </c>
      <c r="P136" s="28">
        <f t="shared" si="10"/>
        <v>185045</v>
      </c>
      <c r="Q136" s="28">
        <f>+'[1]EGR NOVIEMBRE 2024'!$Q$98</f>
        <v>41784.97</v>
      </c>
      <c r="R136" s="28">
        <f t="shared" si="11"/>
        <v>143260.03</v>
      </c>
      <c r="S136" s="88">
        <f>Q136/$Q$144</f>
        <v>5.6958728435012578E-3</v>
      </c>
    </row>
    <row r="137" spans="1:19" ht="15.95" customHeight="1" x14ac:dyDescent="0.25">
      <c r="A137" s="41" t="s">
        <v>223</v>
      </c>
      <c r="B137" s="100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44"/>
      <c r="M137" s="44"/>
      <c r="N137" s="44">
        <v>855</v>
      </c>
      <c r="O137" s="44"/>
      <c r="P137" s="28">
        <f t="shared" si="10"/>
        <v>8025</v>
      </c>
      <c r="Q137" s="28">
        <f>+'[1]EGR NOVIEMBRE 2024'!$Q$99</f>
        <v>8025</v>
      </c>
      <c r="R137" s="28">
        <f t="shared" si="11"/>
        <v>0</v>
      </c>
      <c r="S137" s="88">
        <f>Q137/$Q$144</f>
        <v>1.093919166846299E-3</v>
      </c>
    </row>
    <row r="138" spans="1:19" ht="15.95" customHeight="1" x14ac:dyDescent="0.25">
      <c r="A138" s="41" t="s">
        <v>225</v>
      </c>
      <c r="B138" s="100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44"/>
      <c r="M138" s="44"/>
      <c r="N138" s="44"/>
      <c r="O138" s="44">
        <v>30000</v>
      </c>
      <c r="P138" s="28">
        <f t="shared" si="10"/>
        <v>40000</v>
      </c>
      <c r="Q138" s="28">
        <f>+'[1]EGR NOVIEMBRE 2024'!$Q$100</f>
        <v>3000</v>
      </c>
      <c r="R138" s="28">
        <f t="shared" si="11"/>
        <v>37000</v>
      </c>
      <c r="S138" s="88">
        <f>Q138/$Q$144</f>
        <v>4.0894174461543882E-4</v>
      </c>
    </row>
    <row r="139" spans="1:19" ht="33" customHeight="1" x14ac:dyDescent="0.25">
      <c r="A139" s="41">
        <v>453</v>
      </c>
      <c r="B139" s="100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44"/>
      <c r="M139" s="44"/>
      <c r="N139" s="44"/>
      <c r="O139" s="44"/>
      <c r="P139" s="28">
        <f t="shared" si="10"/>
        <v>120000</v>
      </c>
      <c r="Q139" s="28">
        <f>+'[1]EGR NOVIEMBRE 2024'!$Q$101</f>
        <v>118168.58</v>
      </c>
      <c r="R139" s="28">
        <f t="shared" si="11"/>
        <v>1831.4199999999983</v>
      </c>
      <c r="S139" s="88"/>
    </row>
    <row r="140" spans="1:19" ht="33" customHeigh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44"/>
      <c r="M140" s="44"/>
      <c r="N140" s="44">
        <v>30000</v>
      </c>
      <c r="O140" s="44"/>
      <c r="P140" s="28">
        <f t="shared" si="10"/>
        <v>38750</v>
      </c>
      <c r="Q140" s="28">
        <f>+'[1]EGR NOVIEMBRE 2024'!$Q$102</f>
        <v>1937.01</v>
      </c>
      <c r="R140" s="28">
        <f>P140-Q140</f>
        <v>36812.99</v>
      </c>
      <c r="S140" s="88">
        <f>Q140/$Q$144</f>
        <v>2.6404141624585041E-4</v>
      </c>
    </row>
    <row r="141" spans="1:19" ht="15.95" customHeight="1" x14ac:dyDescent="0.25">
      <c r="A141" s="41"/>
      <c r="B141" s="100"/>
      <c r="C141" s="28"/>
      <c r="D141" s="28"/>
      <c r="E141" s="28"/>
      <c r="F141" s="28"/>
      <c r="G141" s="28"/>
      <c r="H141" s="28"/>
      <c r="I141" s="28"/>
      <c r="J141" s="44"/>
      <c r="K141" s="44"/>
      <c r="L141" s="44"/>
      <c r="M141" s="44"/>
      <c r="N141" s="44"/>
      <c r="O141" s="44"/>
      <c r="P141" s="28">
        <f t="shared" si="10"/>
        <v>0</v>
      </c>
      <c r="Q141" s="28"/>
      <c r="R141" s="28"/>
      <c r="S141" s="88"/>
    </row>
    <row r="142" spans="1:19" ht="15.95" customHeight="1" x14ac:dyDescent="0.25">
      <c r="A142" s="39">
        <v>9</v>
      </c>
      <c r="B142" s="108" t="s">
        <v>278</v>
      </c>
      <c r="C142" s="28"/>
      <c r="D142" s="28"/>
      <c r="E142" s="28"/>
      <c r="F142" s="28"/>
      <c r="G142" s="28"/>
      <c r="H142" s="28"/>
      <c r="I142" s="28"/>
      <c r="J142" s="44"/>
      <c r="K142" s="44"/>
      <c r="L142" s="44"/>
      <c r="M142" s="44"/>
      <c r="N142" s="44"/>
      <c r="O142" s="44"/>
      <c r="P142" s="28">
        <f t="shared" si="10"/>
        <v>0</v>
      </c>
      <c r="Q142" s="28"/>
      <c r="R142" s="28"/>
      <c r="S142" s="88"/>
    </row>
    <row r="143" spans="1:19" ht="15.95" customHeight="1" thickBot="1" x14ac:dyDescent="0.3">
      <c r="A143" s="41">
        <v>913</v>
      </c>
      <c r="B143" s="100" t="s">
        <v>277</v>
      </c>
      <c r="C143" s="28"/>
      <c r="D143" s="28"/>
      <c r="E143" s="28"/>
      <c r="F143" s="44"/>
      <c r="G143" s="44"/>
      <c r="H143" s="28"/>
      <c r="I143" s="28"/>
      <c r="J143" s="44"/>
      <c r="K143" s="44"/>
      <c r="L143" s="44"/>
      <c r="M143" s="44"/>
      <c r="N143" s="44">
        <v>300000</v>
      </c>
      <c r="O143" s="44"/>
      <c r="P143" s="28">
        <f t="shared" si="10"/>
        <v>300000</v>
      </c>
      <c r="Q143" s="28">
        <f>+'[1]EGR NOVIEMBRE 2024'!$Q$103</f>
        <v>300000</v>
      </c>
      <c r="R143" s="28">
        <f>P143-Q143</f>
        <v>0</v>
      </c>
      <c r="S143" s="88">
        <f>Q143/$Q$144</f>
        <v>4.0894174461543885E-2</v>
      </c>
    </row>
    <row r="144" spans="1:19" ht="18" customHeight="1" thickBot="1" x14ac:dyDescent="0.3">
      <c r="A144" s="32"/>
      <c r="B144" s="106" t="s">
        <v>90</v>
      </c>
      <c r="C144" s="34">
        <f t="shared" ref="C144:R144" si="12">SUM(C31:C143)</f>
        <v>8258523.6200000001</v>
      </c>
      <c r="D144" s="34">
        <f t="shared" si="12"/>
        <v>0</v>
      </c>
      <c r="E144" s="34">
        <f t="shared" si="12"/>
        <v>0</v>
      </c>
      <c r="F144" s="34">
        <f t="shared" si="12"/>
        <v>584600</v>
      </c>
      <c r="G144" s="34">
        <f t="shared" si="12"/>
        <v>584600</v>
      </c>
      <c r="H144" s="34">
        <f t="shared" si="12"/>
        <v>2655496.71</v>
      </c>
      <c r="I144" s="34">
        <f t="shared" si="12"/>
        <v>0</v>
      </c>
      <c r="J144" s="64">
        <f t="shared" si="12"/>
        <v>137000</v>
      </c>
      <c r="K144" s="64">
        <f t="shared" si="12"/>
        <v>137000</v>
      </c>
      <c r="L144" s="64">
        <f t="shared" si="12"/>
        <v>110000</v>
      </c>
      <c r="M144" s="64">
        <f t="shared" si="12"/>
        <v>110000</v>
      </c>
      <c r="N144" s="64">
        <f>SUM(N31:N143)</f>
        <v>1227591.97</v>
      </c>
      <c r="O144" s="64">
        <f>SUM(O31:O143)</f>
        <v>367955</v>
      </c>
      <c r="P144" s="34">
        <f t="shared" si="12"/>
        <v>11773657.299999999</v>
      </c>
      <c r="Q144" s="34">
        <f t="shared" si="12"/>
        <v>7336008.2199999997</v>
      </c>
      <c r="R144" s="34">
        <f t="shared" si="12"/>
        <v>4437649.08</v>
      </c>
      <c r="S144" s="45">
        <v>1</v>
      </c>
    </row>
    <row r="145" spans="1:22" x14ac:dyDescent="0.2">
      <c r="A145" s="46"/>
      <c r="B145" s="110"/>
      <c r="C145" s="77"/>
      <c r="D145" s="76"/>
      <c r="E145" s="47"/>
      <c r="F145" s="47"/>
      <c r="G145" s="47"/>
      <c r="H145" s="47"/>
      <c r="I145" s="47"/>
      <c r="J145" s="65"/>
      <c r="K145" s="65"/>
      <c r="L145" s="65"/>
      <c r="M145" s="65"/>
      <c r="N145" s="65"/>
      <c r="O145" s="65"/>
      <c r="P145" s="47">
        <f>+P144-P26</f>
        <v>0</v>
      </c>
      <c r="Q145" s="47">
        <f>+Q144-'[1]EGR NOVIEMBRE 2024'!$Q$104</f>
        <v>0</v>
      </c>
      <c r="R145" s="47"/>
      <c r="U145" s="65"/>
      <c r="V145" s="65"/>
    </row>
    <row r="146" spans="1:22" ht="15.75" thickBot="1" x14ac:dyDescent="0.25">
      <c r="E146" s="12"/>
      <c r="F146" s="4"/>
      <c r="P146" s="14"/>
      <c r="Q146" s="4"/>
      <c r="U146" s="66"/>
    </row>
    <row r="147" spans="1:22" ht="15.75" x14ac:dyDescent="0.25">
      <c r="A147" s="1" t="s">
        <v>83</v>
      </c>
      <c r="B147" s="112"/>
      <c r="C147" s="3"/>
      <c r="D147" s="4"/>
      <c r="E147" s="4"/>
      <c r="F147" s="4"/>
      <c r="G147" s="4"/>
      <c r="H147" s="4"/>
      <c r="I147" s="4"/>
      <c r="J147" s="66"/>
      <c r="K147" s="66"/>
      <c r="L147" s="66"/>
      <c r="M147" s="66"/>
      <c r="N147" s="66"/>
      <c r="O147" s="66"/>
      <c r="P147" s="4"/>
      <c r="Q147" s="4"/>
      <c r="U147" s="66"/>
      <c r="V147" s="66"/>
    </row>
    <row r="148" spans="1:22" ht="15.75" x14ac:dyDescent="0.25">
      <c r="A148" s="5" t="s">
        <v>2</v>
      </c>
      <c r="B148" s="101"/>
      <c r="C148" s="7"/>
      <c r="D148" s="4"/>
      <c r="E148" s="4"/>
      <c r="F148" s="4"/>
      <c r="G148" s="4"/>
      <c r="H148" s="4"/>
      <c r="I148" s="4"/>
      <c r="J148" s="66"/>
      <c r="K148" s="66"/>
      <c r="L148" s="66"/>
      <c r="M148" s="66"/>
      <c r="N148" s="66"/>
      <c r="O148" s="66"/>
      <c r="P148" s="4"/>
      <c r="Q148" s="4"/>
      <c r="U148" s="66"/>
      <c r="V148" s="66"/>
    </row>
    <row r="149" spans="1:22" ht="5.0999999999999996" customHeight="1" thickBot="1" x14ac:dyDescent="0.25">
      <c r="A149" s="8"/>
      <c r="B149" s="113"/>
      <c r="C149" s="10"/>
      <c r="D149" s="4"/>
      <c r="E149" s="4"/>
      <c r="F149" s="4"/>
      <c r="G149" s="4"/>
      <c r="H149" s="4"/>
      <c r="I149" s="4"/>
      <c r="J149" s="66"/>
      <c r="K149" s="66"/>
      <c r="L149" s="66"/>
      <c r="M149" s="66"/>
      <c r="N149" s="66"/>
      <c r="O149" s="66"/>
      <c r="P149" s="4"/>
      <c r="Q149" s="4"/>
      <c r="U149" s="66"/>
      <c r="V149" s="66"/>
    </row>
    <row r="150" spans="1:22" ht="6.95" customHeight="1" x14ac:dyDescent="0.2">
      <c r="A150" s="48"/>
      <c r="B150" s="114"/>
      <c r="C150" s="50"/>
      <c r="D150" s="4"/>
      <c r="E150" s="4"/>
      <c r="F150" s="4"/>
      <c r="G150" s="4"/>
      <c r="H150" s="4"/>
      <c r="I150" s="4"/>
      <c r="J150" s="66"/>
      <c r="K150" s="66"/>
      <c r="L150" s="66"/>
      <c r="M150" s="66"/>
      <c r="N150" s="66"/>
      <c r="O150" s="66"/>
      <c r="P150" s="4"/>
      <c r="Q150" s="4"/>
      <c r="U150" s="66"/>
      <c r="V150" s="66"/>
    </row>
    <row r="151" spans="1:22" x14ac:dyDescent="0.2">
      <c r="A151" s="51" t="s">
        <v>84</v>
      </c>
      <c r="B151" s="115"/>
      <c r="C151" s="53"/>
      <c r="D151" s="4"/>
      <c r="E151" s="4"/>
      <c r="F151" s="4"/>
      <c r="G151" s="4"/>
      <c r="H151" s="4"/>
      <c r="I151" s="4"/>
      <c r="J151" s="66"/>
      <c r="K151" s="66"/>
      <c r="L151" s="66"/>
      <c r="M151" s="66"/>
      <c r="N151" s="66"/>
      <c r="O151" s="66"/>
      <c r="P151" s="4"/>
      <c r="U151" s="66"/>
      <c r="V151" s="66"/>
    </row>
    <row r="152" spans="1:22" x14ac:dyDescent="0.2">
      <c r="A152" s="54" t="s">
        <v>257</v>
      </c>
      <c r="B152" s="115"/>
      <c r="C152" s="69">
        <v>1808838.07</v>
      </c>
      <c r="D152" s="47"/>
      <c r="E152" s="4"/>
      <c r="F152" s="4"/>
      <c r="G152" s="4"/>
      <c r="H152" s="4"/>
      <c r="I152" s="4"/>
      <c r="J152" s="66"/>
      <c r="K152" s="66"/>
      <c r="L152" s="66"/>
      <c r="M152" s="66"/>
      <c r="N152" s="66"/>
      <c r="O152" s="66"/>
      <c r="P152" s="4"/>
      <c r="U152" s="66"/>
      <c r="V152" s="66"/>
    </row>
    <row r="153" spans="1:22" x14ac:dyDescent="0.2">
      <c r="A153" s="54" t="s">
        <v>258</v>
      </c>
      <c r="B153" s="115"/>
      <c r="C153" s="69">
        <v>-22528.77</v>
      </c>
      <c r="D153" s="47"/>
      <c r="E153" s="4"/>
      <c r="F153" s="4"/>
      <c r="G153" s="4"/>
      <c r="H153" s="4"/>
      <c r="I153" s="4"/>
      <c r="J153" s="66"/>
      <c r="K153" s="66"/>
      <c r="L153" s="66"/>
      <c r="M153" s="66"/>
      <c r="N153" s="66"/>
      <c r="O153" s="66"/>
      <c r="P153" s="4"/>
      <c r="U153" s="66"/>
      <c r="V153" s="66"/>
    </row>
    <row r="154" spans="1:22" x14ac:dyDescent="0.2">
      <c r="A154" s="54"/>
      <c r="B154" s="115"/>
      <c r="C154" s="69"/>
      <c r="D154" s="47"/>
      <c r="E154" s="4"/>
      <c r="F154" s="4"/>
      <c r="G154" s="4"/>
      <c r="H154" s="4"/>
      <c r="I154" s="4"/>
      <c r="J154" s="66"/>
      <c r="K154" s="66"/>
      <c r="L154" s="66"/>
      <c r="M154" s="66"/>
      <c r="N154" s="66"/>
      <c r="O154" s="66"/>
      <c r="P154" s="4"/>
      <c r="U154" s="66"/>
      <c r="V154" s="66"/>
    </row>
    <row r="155" spans="1:22" x14ac:dyDescent="0.2">
      <c r="A155" s="83"/>
      <c r="B155" s="115"/>
      <c r="C155" s="69"/>
      <c r="D155" s="47"/>
      <c r="E155" s="4"/>
      <c r="F155" s="4"/>
      <c r="G155" s="4"/>
      <c r="H155" s="4"/>
      <c r="I155" s="4"/>
      <c r="J155" s="66"/>
      <c r="K155" s="66"/>
      <c r="L155" s="66"/>
      <c r="M155" s="66"/>
      <c r="N155" s="66"/>
      <c r="O155" s="66"/>
      <c r="P155" s="4"/>
      <c r="U155" s="66"/>
      <c r="V155" s="66"/>
    </row>
    <row r="156" spans="1:22" x14ac:dyDescent="0.2">
      <c r="A156" s="83" t="s">
        <v>259</v>
      </c>
      <c r="B156" s="115"/>
      <c r="C156" s="69">
        <f>1174639.32+309594.02-600</f>
        <v>1483633.34</v>
      </c>
      <c r="D156" s="47"/>
      <c r="E156" s="4"/>
      <c r="F156" s="4">
        <f>+C152+C153++C156</f>
        <v>3269942.64</v>
      </c>
      <c r="G156" s="4"/>
      <c r="H156" s="4"/>
      <c r="I156" s="4"/>
      <c r="J156" s="66"/>
      <c r="K156" s="66"/>
      <c r="L156" s="66"/>
      <c r="M156" s="66"/>
      <c r="N156" s="66"/>
      <c r="O156" s="66"/>
      <c r="P156" s="4"/>
      <c r="U156" s="66"/>
      <c r="V156" s="66"/>
    </row>
    <row r="157" spans="1:22" x14ac:dyDescent="0.2">
      <c r="A157" s="54" t="s">
        <v>85</v>
      </c>
      <c r="B157" s="115"/>
      <c r="C157" s="69">
        <f>Q26</f>
        <v>7436169.7400000002</v>
      </c>
      <c r="D157" s="47"/>
      <c r="E157" s="4"/>
      <c r="F157" s="4"/>
      <c r="G157" s="4"/>
      <c r="H157" s="4"/>
      <c r="I157" s="4"/>
      <c r="J157" s="66"/>
      <c r="K157" s="66"/>
      <c r="L157" s="66"/>
      <c r="M157" s="66"/>
      <c r="N157" s="66"/>
      <c r="O157" s="66"/>
      <c r="P157" s="4"/>
      <c r="U157" s="66"/>
      <c r="V157" s="66"/>
    </row>
    <row r="158" spans="1:22" x14ac:dyDescent="0.2">
      <c r="A158" s="54" t="s">
        <v>86</v>
      </c>
      <c r="B158" s="115"/>
      <c r="C158" s="70">
        <f>-Q144</f>
        <v>-7336008.2199999997</v>
      </c>
      <c r="D158" s="4"/>
      <c r="E158" s="4"/>
      <c r="F158" s="4"/>
      <c r="G158" s="4"/>
      <c r="H158" s="4"/>
      <c r="I158" s="4"/>
      <c r="J158" s="66"/>
      <c r="K158" s="66"/>
      <c r="L158" s="66"/>
      <c r="M158" s="66"/>
      <c r="N158" s="66"/>
      <c r="O158" s="66"/>
      <c r="P158" s="4"/>
      <c r="U158" s="66"/>
      <c r="V158" s="66"/>
    </row>
    <row r="159" spans="1:22" ht="15.75" x14ac:dyDescent="0.25">
      <c r="A159" s="55" t="s">
        <v>87</v>
      </c>
      <c r="B159" s="116"/>
      <c r="C159" s="71">
        <f>SUM(C152:C158)</f>
        <v>3370104.1600000011</v>
      </c>
      <c r="D159" s="4"/>
      <c r="E159" s="4"/>
      <c r="F159" s="4"/>
      <c r="G159" s="4"/>
      <c r="H159" s="4"/>
      <c r="I159" s="4"/>
      <c r="J159" s="66"/>
      <c r="K159" s="66"/>
      <c r="L159" s="66"/>
      <c r="M159" s="66"/>
      <c r="N159" s="66"/>
      <c r="O159" s="66"/>
      <c r="P159" s="4"/>
      <c r="U159" s="66"/>
      <c r="V159" s="66"/>
    </row>
    <row r="160" spans="1:22" ht="15.75" x14ac:dyDescent="0.25">
      <c r="A160" s="55"/>
      <c r="B160" s="116"/>
      <c r="C160" s="71"/>
      <c r="D160" s="4"/>
      <c r="E160" s="4"/>
      <c r="F160" s="4"/>
      <c r="G160" s="4"/>
      <c r="H160" s="4"/>
      <c r="I160" s="4"/>
      <c r="J160" s="66"/>
      <c r="K160" s="66"/>
      <c r="L160" s="66"/>
      <c r="M160" s="66"/>
      <c r="N160" s="66"/>
      <c r="O160" s="66"/>
      <c r="P160" s="4"/>
      <c r="U160" s="66"/>
      <c r="V160" s="66"/>
    </row>
    <row r="161" spans="1:22" x14ac:dyDescent="0.2">
      <c r="A161" s="51" t="s">
        <v>88</v>
      </c>
      <c r="B161" s="115"/>
      <c r="C161" s="69"/>
      <c r="D161" s="4"/>
      <c r="E161" s="4"/>
      <c r="F161" s="4"/>
      <c r="G161" s="4"/>
      <c r="H161" s="4"/>
      <c r="I161" s="4"/>
      <c r="J161" s="66"/>
      <c r="K161" s="66"/>
      <c r="L161" s="66"/>
      <c r="M161" s="66"/>
      <c r="N161" s="66"/>
      <c r="O161" s="66"/>
      <c r="P161" s="4"/>
      <c r="U161" s="66"/>
      <c r="V161" s="66"/>
    </row>
    <row r="162" spans="1:22" ht="12" customHeight="1" x14ac:dyDescent="0.2">
      <c r="A162" s="54" t="s">
        <v>147</v>
      </c>
      <c r="B162" s="115"/>
      <c r="C162" s="69">
        <v>266.82</v>
      </c>
      <c r="D162" s="4"/>
      <c r="E162" s="4"/>
      <c r="F162" s="4"/>
      <c r="G162" s="4"/>
      <c r="H162" s="4"/>
      <c r="I162" s="4"/>
      <c r="J162" s="66"/>
      <c r="K162" s="66"/>
      <c r="L162" s="66"/>
      <c r="M162" s="66"/>
      <c r="N162" s="66"/>
      <c r="O162" s="66"/>
      <c r="P162" s="4"/>
      <c r="U162" s="66"/>
      <c r="V162" s="66"/>
    </row>
    <row r="163" spans="1:22" ht="12" customHeight="1" x14ac:dyDescent="0.2">
      <c r="A163" s="54" t="s">
        <v>241</v>
      </c>
      <c r="B163" s="115"/>
      <c r="C163" s="69">
        <v>825</v>
      </c>
      <c r="D163" s="4"/>
      <c r="E163" s="4"/>
      <c r="F163" s="4"/>
      <c r="G163" s="4"/>
      <c r="H163" s="4"/>
      <c r="I163" s="4"/>
      <c r="J163" s="66"/>
      <c r="K163" s="66"/>
      <c r="L163" s="66"/>
      <c r="M163" s="66"/>
      <c r="N163" s="66"/>
      <c r="O163" s="66"/>
      <c r="P163" s="4"/>
      <c r="U163" s="66"/>
      <c r="V163" s="66"/>
    </row>
    <row r="164" spans="1:22" ht="12" customHeight="1" x14ac:dyDescent="0.2">
      <c r="A164" s="54" t="s">
        <v>248</v>
      </c>
      <c r="B164" s="115"/>
      <c r="C164" s="69"/>
      <c r="D164" s="4"/>
      <c r="E164" s="4"/>
      <c r="F164" s="4"/>
      <c r="G164" s="4"/>
      <c r="H164" s="4"/>
      <c r="I164" s="4"/>
      <c r="J164" s="66"/>
      <c r="K164" s="66"/>
      <c r="L164" s="66"/>
      <c r="M164" s="66"/>
      <c r="N164" s="66"/>
      <c r="O164" s="66"/>
      <c r="P164" s="4"/>
      <c r="U164" s="66"/>
      <c r="V164" s="66"/>
    </row>
    <row r="165" spans="1:22" x14ac:dyDescent="0.2">
      <c r="A165" s="54" t="s">
        <v>150</v>
      </c>
      <c r="B165" s="115"/>
      <c r="C165" s="69">
        <v>12053.92</v>
      </c>
      <c r="D165" s="79"/>
      <c r="E165" s="4"/>
      <c r="F165" s="4"/>
      <c r="G165" s="4"/>
      <c r="H165" s="4"/>
      <c r="I165" s="4"/>
      <c r="J165" s="66"/>
      <c r="K165" s="66"/>
      <c r="L165" s="66"/>
      <c r="M165" s="66"/>
      <c r="N165" s="66"/>
      <c r="O165" s="66"/>
      <c r="P165" s="4"/>
      <c r="U165" s="66"/>
      <c r="V165" s="66"/>
    </row>
    <row r="166" spans="1:22" x14ac:dyDescent="0.2">
      <c r="A166" s="54" t="s">
        <v>287</v>
      </c>
      <c r="B166" s="115"/>
      <c r="C166" s="69">
        <v>3655.51</v>
      </c>
      <c r="D166" s="79"/>
      <c r="E166" s="4"/>
      <c r="F166" s="4"/>
      <c r="G166" s="4"/>
      <c r="H166" s="4"/>
      <c r="I166" s="4"/>
      <c r="J166" s="66"/>
      <c r="K166" s="66"/>
      <c r="L166" s="66"/>
      <c r="M166" s="66"/>
      <c r="N166" s="66"/>
      <c r="O166" s="66"/>
      <c r="P166" s="4"/>
      <c r="U166" s="66"/>
      <c r="V166" s="66"/>
    </row>
    <row r="167" spans="1:22" x14ac:dyDescent="0.2">
      <c r="A167" s="54" t="s">
        <v>149</v>
      </c>
      <c r="B167" s="115"/>
      <c r="C167" s="69">
        <v>2087.9699999999998</v>
      </c>
      <c r="D167" s="80"/>
      <c r="E167" s="4"/>
      <c r="F167" s="4"/>
      <c r="G167" s="4"/>
      <c r="H167" s="4"/>
      <c r="I167" s="4"/>
      <c r="J167" s="66"/>
      <c r="K167" s="66"/>
      <c r="L167" s="66"/>
      <c r="M167" s="66"/>
      <c r="N167" s="66"/>
      <c r="O167" s="66"/>
      <c r="P167" s="4"/>
      <c r="U167" s="66"/>
      <c r="V167" s="66"/>
    </row>
    <row r="168" spans="1:22" x14ac:dyDescent="0.2">
      <c r="A168" s="54" t="s">
        <v>148</v>
      </c>
      <c r="B168" s="115"/>
      <c r="C168" s="69">
        <v>-8109.04</v>
      </c>
      <c r="D168" s="80"/>
      <c r="E168" s="4"/>
      <c r="F168" s="4"/>
      <c r="G168" s="4"/>
      <c r="H168" s="4"/>
      <c r="I168" s="4"/>
      <c r="J168" s="66"/>
      <c r="K168" s="66"/>
      <c r="L168" s="66"/>
      <c r="M168" s="66"/>
      <c r="N168" s="66"/>
      <c r="O168" s="66"/>
      <c r="P168" s="4"/>
      <c r="U168" s="66"/>
      <c r="V168" s="66"/>
    </row>
    <row r="169" spans="1:22" x14ac:dyDescent="0.2">
      <c r="A169" s="54" t="s">
        <v>289</v>
      </c>
      <c r="B169" s="115"/>
      <c r="C169" s="69">
        <v>8109.04</v>
      </c>
      <c r="D169" s="80"/>
      <c r="E169" s="4"/>
      <c r="F169" s="4"/>
      <c r="G169" s="4"/>
      <c r="H169" s="4"/>
      <c r="I169" s="4"/>
      <c r="J169" s="66"/>
      <c r="K169" s="66"/>
      <c r="L169" s="66"/>
      <c r="M169" s="66"/>
      <c r="N169" s="66"/>
      <c r="O169" s="66"/>
      <c r="P169" s="4"/>
      <c r="U169" s="66"/>
      <c r="V169" s="66"/>
    </row>
    <row r="170" spans="1:22" x14ac:dyDescent="0.2">
      <c r="A170" s="54" t="s">
        <v>253</v>
      </c>
      <c r="B170" s="115"/>
      <c r="C170" s="69">
        <v>287.38</v>
      </c>
      <c r="D170" s="80"/>
      <c r="E170" s="4"/>
      <c r="F170" s="4"/>
      <c r="G170" s="4"/>
      <c r="H170" s="4"/>
      <c r="I170" s="4"/>
      <c r="J170" s="66"/>
      <c r="K170" s="66"/>
      <c r="L170" s="66"/>
      <c r="M170" s="66"/>
      <c r="N170" s="66"/>
      <c r="O170" s="66"/>
      <c r="P170" s="4"/>
      <c r="U170" s="66"/>
      <c r="V170" s="66"/>
    </row>
    <row r="171" spans="1:22" x14ac:dyDescent="0.2">
      <c r="A171" s="54" t="s">
        <v>288</v>
      </c>
      <c r="B171" s="115"/>
      <c r="C171" s="70">
        <v>1000</v>
      </c>
      <c r="D171" s="81"/>
      <c r="E171" s="82"/>
      <c r="F171" s="4"/>
      <c r="G171" s="4"/>
      <c r="H171" s="4"/>
      <c r="I171" s="4"/>
      <c r="J171" s="66"/>
      <c r="K171" s="66"/>
      <c r="L171" s="66"/>
      <c r="M171" s="66"/>
      <c r="N171" s="66"/>
      <c r="O171" s="66"/>
      <c r="P171" s="4"/>
      <c r="U171" s="66"/>
      <c r="V171" s="66"/>
    </row>
    <row r="172" spans="1:22" ht="15.75" x14ac:dyDescent="0.25">
      <c r="A172" s="55"/>
      <c r="B172" s="116"/>
      <c r="C172" s="71">
        <f>SUM(C162:C171)</f>
        <v>20176.600000000002</v>
      </c>
      <c r="D172" s="81"/>
      <c r="E172" s="82"/>
      <c r="F172" s="4"/>
      <c r="G172" s="4"/>
      <c r="H172" s="4"/>
      <c r="I172" s="4"/>
      <c r="J172" s="66"/>
      <c r="K172" s="66"/>
      <c r="L172" s="66"/>
      <c r="M172" s="66"/>
      <c r="N172" s="66"/>
      <c r="O172" s="66"/>
      <c r="P172" s="4"/>
      <c r="U172" s="66"/>
      <c r="V172" s="66"/>
    </row>
    <row r="173" spans="1:22" ht="2.1" customHeight="1" x14ac:dyDescent="0.25">
      <c r="A173" s="55"/>
      <c r="B173" s="116"/>
      <c r="C173" s="72"/>
      <c r="D173" s="80"/>
      <c r="E173" s="4"/>
      <c r="F173" s="4"/>
      <c r="G173" s="4"/>
      <c r="H173" s="4"/>
      <c r="I173" s="4"/>
      <c r="J173" s="66"/>
      <c r="K173" s="66"/>
      <c r="L173" s="66"/>
      <c r="M173" s="66"/>
      <c r="N173" s="66"/>
      <c r="O173" s="66"/>
      <c r="P173" s="4"/>
      <c r="U173" s="66"/>
      <c r="V173" s="66"/>
    </row>
    <row r="174" spans="1:22" x14ac:dyDescent="0.2">
      <c r="A174" s="54"/>
      <c r="B174" s="115"/>
      <c r="C174" s="69"/>
      <c r="D174" s="80"/>
      <c r="E174" s="4"/>
      <c r="F174" s="4"/>
      <c r="G174" s="4"/>
      <c r="H174" s="4"/>
      <c r="I174" s="4"/>
      <c r="J174" s="66"/>
      <c r="K174" s="66"/>
      <c r="L174" s="66"/>
      <c r="M174" s="66"/>
      <c r="N174" s="66"/>
      <c r="O174" s="66"/>
      <c r="P174" s="4"/>
      <c r="U174" s="66"/>
      <c r="V174" s="66"/>
    </row>
    <row r="175" spans="1:22" ht="2.1" customHeight="1" thickBot="1" x14ac:dyDescent="0.3">
      <c r="A175" s="57" t="s">
        <v>238</v>
      </c>
      <c r="B175" s="117"/>
      <c r="C175" s="68">
        <f>C159+C172</f>
        <v>3390280.7600000012</v>
      </c>
      <c r="D175" s="79"/>
      <c r="E175" s="4"/>
      <c r="F175" s="4"/>
      <c r="G175" s="4"/>
      <c r="H175" s="4"/>
      <c r="I175" s="4"/>
      <c r="J175" s="66"/>
      <c r="K175" s="66"/>
      <c r="L175" s="66"/>
      <c r="M175" s="66"/>
      <c r="N175" s="66"/>
      <c r="O175" s="66"/>
      <c r="P175" s="4"/>
      <c r="U175" s="66"/>
      <c r="V175" s="66"/>
    </row>
    <row r="176" spans="1:22" ht="9.9499999999999993" customHeight="1" x14ac:dyDescent="0.2">
      <c r="A176" s="54"/>
      <c r="B176" s="115"/>
      <c r="C176" s="69"/>
      <c r="D176" s="79"/>
      <c r="E176" s="4"/>
      <c r="F176" s="4"/>
      <c r="G176" s="4"/>
      <c r="H176" s="4"/>
      <c r="I176" s="4"/>
      <c r="J176" s="66"/>
      <c r="K176" s="66"/>
      <c r="L176" s="66"/>
      <c r="M176" s="66"/>
      <c r="N176" s="66"/>
      <c r="O176" s="66"/>
      <c r="P176" s="4"/>
      <c r="U176" s="66"/>
      <c r="V176" s="66"/>
    </row>
    <row r="177" spans="1:22" ht="16.5" thickBot="1" x14ac:dyDescent="0.3">
      <c r="A177" s="57" t="s">
        <v>285</v>
      </c>
      <c r="B177" s="117"/>
      <c r="C177" s="68">
        <f>C159+C172</f>
        <v>3390280.7600000012</v>
      </c>
      <c r="D177" s="81"/>
      <c r="E177" s="4"/>
      <c r="F177" s="4"/>
      <c r="G177" s="4"/>
      <c r="H177" s="4"/>
      <c r="I177" s="4"/>
      <c r="J177" s="66"/>
      <c r="K177" s="66"/>
      <c r="L177" s="66"/>
      <c r="M177" s="66"/>
      <c r="N177" s="66"/>
      <c r="O177" s="66"/>
      <c r="P177" s="4"/>
      <c r="Q177" s="4"/>
      <c r="U177" s="66"/>
      <c r="V177" s="66"/>
    </row>
    <row r="178" spans="1:22" x14ac:dyDescent="0.2">
      <c r="A178" s="52"/>
      <c r="B178" s="118"/>
      <c r="C178" s="4"/>
      <c r="D178" s="4"/>
      <c r="E178" s="4"/>
      <c r="F178" s="4"/>
      <c r="G178" s="4"/>
      <c r="H178" s="4"/>
      <c r="I178" s="4"/>
      <c r="J178" s="66"/>
      <c r="K178" s="66"/>
      <c r="L178" s="66"/>
      <c r="M178" s="66"/>
      <c r="N178" s="66"/>
      <c r="O178" s="66"/>
      <c r="P178" s="4"/>
      <c r="U178" s="66"/>
      <c r="V178" s="66"/>
    </row>
    <row r="179" spans="1:22" x14ac:dyDescent="0.2">
      <c r="B179" s="118"/>
      <c r="C179" s="87"/>
      <c r="D179" s="4"/>
      <c r="E179" s="4"/>
    </row>
    <row r="180" spans="1:22" x14ac:dyDescent="0.2">
      <c r="C180" s="13"/>
      <c r="D180" s="4"/>
    </row>
    <row r="181" spans="1:22" x14ac:dyDescent="0.2">
      <c r="C181" s="13"/>
      <c r="D181" s="4"/>
    </row>
    <row r="182" spans="1:22" x14ac:dyDescent="0.2">
      <c r="C182" s="14"/>
      <c r="D182" s="4"/>
      <c r="I182" s="4"/>
      <c r="K182" s="66"/>
      <c r="M182" s="66"/>
      <c r="N182" s="66"/>
      <c r="O182" s="66"/>
      <c r="P182" s="4"/>
      <c r="V182" s="66"/>
    </row>
    <row r="183" spans="1:22" x14ac:dyDescent="0.2">
      <c r="C183" s="14"/>
      <c r="D183" s="4"/>
      <c r="I183" s="4"/>
      <c r="K183" s="66"/>
      <c r="M183" s="66"/>
      <c r="N183" s="66"/>
      <c r="O183" s="66"/>
      <c r="P183" s="4"/>
      <c r="V183" s="66"/>
    </row>
    <row r="184" spans="1:22" x14ac:dyDescent="0.2">
      <c r="C184" s="14"/>
      <c r="D184" s="4"/>
      <c r="I184" s="4"/>
      <c r="K184" s="66"/>
      <c r="M184" s="66"/>
      <c r="N184" s="66"/>
      <c r="O184" s="66"/>
      <c r="P184" s="4"/>
      <c r="V184" s="66"/>
    </row>
    <row r="185" spans="1:22" x14ac:dyDescent="0.2">
      <c r="C185" s="14"/>
      <c r="D185" s="4"/>
    </row>
    <row r="186" spans="1:22" x14ac:dyDescent="0.2">
      <c r="C186" s="14"/>
      <c r="D186" s="4"/>
    </row>
    <row r="187" spans="1:22" x14ac:dyDescent="0.2">
      <c r="C187" s="14"/>
      <c r="D187" s="4"/>
    </row>
    <row r="188" spans="1:22" x14ac:dyDescent="0.2">
      <c r="C188" s="14"/>
      <c r="D188" s="4"/>
    </row>
    <row r="189" spans="1:22" x14ac:dyDescent="0.2">
      <c r="D189" s="4"/>
    </row>
    <row r="190" spans="1:22" x14ac:dyDescent="0.2">
      <c r="D190" s="4"/>
    </row>
    <row r="191" spans="1:22" x14ac:dyDescent="0.2">
      <c r="B191" s="119" t="s">
        <v>254</v>
      </c>
      <c r="C191" s="85" t="s">
        <v>255</v>
      </c>
      <c r="E191" s="85"/>
      <c r="I191" s="84" t="s">
        <v>260</v>
      </c>
      <c r="J191" s="85"/>
      <c r="K191" s="74"/>
      <c r="M191" s="85" t="s">
        <v>279</v>
      </c>
      <c r="N191" s="85"/>
      <c r="O191" s="85"/>
      <c r="U191" s="85"/>
      <c r="V191" s="74"/>
    </row>
    <row r="192" spans="1:22" x14ac:dyDescent="0.2">
      <c r="B192" s="119" t="s">
        <v>89</v>
      </c>
      <c r="C192" s="85" t="s">
        <v>261</v>
      </c>
      <c r="E192" s="85"/>
      <c r="I192" s="84" t="s">
        <v>247</v>
      </c>
      <c r="J192" s="84"/>
      <c r="M192" s="84" t="s">
        <v>242</v>
      </c>
      <c r="N192" s="84"/>
      <c r="O192" s="84"/>
      <c r="U192" s="84"/>
    </row>
    <row r="196" spans="7:22" x14ac:dyDescent="0.2">
      <c r="I196" s="4"/>
      <c r="K196" s="66"/>
      <c r="M196" s="66"/>
      <c r="N196" s="66"/>
      <c r="O196" s="66"/>
      <c r="P196" s="4"/>
      <c r="V196" s="66"/>
    </row>
    <row r="197" spans="7:22" x14ac:dyDescent="0.2">
      <c r="I197" s="4"/>
      <c r="K197" s="66"/>
      <c r="M197" s="66"/>
      <c r="N197" s="66"/>
      <c r="O197" s="66"/>
      <c r="P197" s="4"/>
      <c r="V197" s="66"/>
    </row>
    <row r="198" spans="7:22" x14ac:dyDescent="0.2">
      <c r="G198" s="59"/>
      <c r="I198" s="59"/>
      <c r="K198" s="67"/>
      <c r="M198" s="67"/>
      <c r="N198" s="67"/>
      <c r="O198" s="67"/>
      <c r="P198" s="4"/>
      <c r="V198" s="67"/>
    </row>
    <row r="199" spans="7:22" x14ac:dyDescent="0.2">
      <c r="G199" s="59"/>
      <c r="I199" s="59"/>
      <c r="K199" s="67"/>
      <c r="M199" s="67"/>
      <c r="N199" s="67"/>
      <c r="O199" s="67"/>
      <c r="P199" s="4"/>
      <c r="V199" s="67"/>
    </row>
    <row r="200" spans="7:22" x14ac:dyDescent="0.2">
      <c r="G200" s="59"/>
      <c r="P200" s="4"/>
    </row>
    <row r="201" spans="7:22" x14ac:dyDescent="0.2">
      <c r="G201" s="59"/>
    </row>
    <row r="202" spans="7:22" x14ac:dyDescent="0.2">
      <c r="G202" s="59"/>
    </row>
    <row r="203" spans="7:22" x14ac:dyDescent="0.2">
      <c r="G203" s="59"/>
      <c r="P203" s="4"/>
    </row>
    <row r="204" spans="7:22" x14ac:dyDescent="0.2">
      <c r="G204" s="59"/>
    </row>
    <row r="205" spans="7:22" x14ac:dyDescent="0.2">
      <c r="G205" s="59"/>
    </row>
    <row r="206" spans="7:22" x14ac:dyDescent="0.2">
      <c r="G206" s="59"/>
    </row>
    <row r="207" spans="7:22" x14ac:dyDescent="0.2">
      <c r="G207" s="59"/>
    </row>
    <row r="208" spans="7:2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  <row r="213" spans="7:7" x14ac:dyDescent="0.2">
      <c r="G213" s="59"/>
    </row>
    <row r="214" spans="7:7" x14ac:dyDescent="0.2">
      <c r="G214" s="59"/>
    </row>
    <row r="215" spans="7:7" x14ac:dyDescent="0.2">
      <c r="G215" s="59"/>
    </row>
  </sheetData>
  <mergeCells count="6">
    <mergeCell ref="Q6:Q7"/>
    <mergeCell ref="B6:B7"/>
    <mergeCell ref="H6:I6"/>
    <mergeCell ref="J6:K6"/>
    <mergeCell ref="L6:M6"/>
    <mergeCell ref="N6:O6"/>
  </mergeCells>
  <pageMargins left="0.25" right="0.25" top="0.75" bottom="0.75" header="0.3" footer="0.3"/>
  <pageSetup scale="45" fitToHeight="0" orientation="landscape" horizontalDpi="4294967293" verticalDpi="300" r:id="rId1"/>
  <rowBreaks count="2" manualBreakCount="2">
    <brk id="56" max="16383" man="1"/>
    <brk id="120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8405A-FE12-4781-9DAF-6B143B63E1DB}">
  <sheetPr>
    <pageSetUpPr fitToPage="1"/>
  </sheetPr>
  <dimension ref="A1:Y204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52" sqref="C15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hidden="1" customWidth="1"/>
    <col min="5" max="5" width="15.28515625" style="11" hidden="1" customWidth="1"/>
    <col min="6" max="6" width="22.85546875" style="11" customWidth="1"/>
    <col min="7" max="7" width="14.5703125" style="11" customWidth="1"/>
    <col min="8" max="8" width="16.42578125" style="11" customWidth="1"/>
    <col min="9" max="9" width="14.140625" style="11" customWidth="1"/>
    <col min="10" max="10" width="13.140625" style="52" customWidth="1"/>
    <col min="11" max="11" width="14.7109375" style="52" customWidth="1"/>
    <col min="12" max="12" width="13.42578125" style="52" customWidth="1"/>
    <col min="13" max="17" width="14.42578125" style="52" customWidth="1"/>
    <col min="18" max="20" width="16.42578125" style="11" customWidth="1"/>
    <col min="21" max="21" width="10.7109375" style="11" customWidth="1"/>
    <col min="22" max="22" width="16.42578125" style="11" customWidth="1"/>
    <col min="23" max="23" width="16.7109375" style="52" customWidth="1"/>
    <col min="24" max="24" width="15.42578125" style="52" customWidth="1"/>
    <col min="25" max="25" width="14.140625" style="11" bestFit="1" customWidth="1"/>
    <col min="26" max="16384" width="11.42578125" style="11"/>
  </cols>
  <sheetData>
    <row r="1" spans="1:24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0"/>
      <c r="M1" s="60"/>
      <c r="N1" s="60"/>
      <c r="O1" s="60"/>
      <c r="P1" s="60"/>
      <c r="Q1" s="60"/>
      <c r="R1" s="6"/>
      <c r="S1" s="6"/>
      <c r="T1" s="6"/>
      <c r="U1" s="15"/>
      <c r="W1" s="60"/>
      <c r="X1" s="60"/>
    </row>
    <row r="2" spans="1:24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0"/>
      <c r="M2" s="60"/>
      <c r="N2" s="60"/>
      <c r="O2" s="60"/>
      <c r="P2" s="60"/>
      <c r="Q2" s="60"/>
      <c r="R2" s="6"/>
      <c r="S2" s="6"/>
      <c r="T2" s="6"/>
      <c r="U2" s="15"/>
      <c r="W2" s="60"/>
      <c r="X2" s="60"/>
    </row>
    <row r="3" spans="1:24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0"/>
      <c r="M3" s="60"/>
      <c r="N3" s="60"/>
      <c r="O3" s="60"/>
      <c r="P3" s="60"/>
      <c r="Q3" s="60"/>
      <c r="R3" s="6"/>
      <c r="S3" s="6"/>
      <c r="T3" s="6"/>
      <c r="U3" s="15"/>
      <c r="W3" s="60"/>
      <c r="X3" s="60"/>
    </row>
    <row r="4" spans="1:24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0"/>
      <c r="M4" s="60"/>
      <c r="N4" s="60"/>
      <c r="O4" s="60"/>
      <c r="P4" s="60"/>
      <c r="Q4" s="60"/>
      <c r="R4" s="6"/>
      <c r="S4" s="6"/>
      <c r="T4" s="6"/>
      <c r="U4" s="15"/>
      <c r="W4" s="60"/>
      <c r="X4" s="60"/>
    </row>
    <row r="5" spans="1:24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56"/>
      <c r="M5" s="56"/>
      <c r="N5" s="56"/>
      <c r="O5" s="56"/>
      <c r="P5" s="56"/>
      <c r="Q5" s="56"/>
      <c r="R5" s="15"/>
      <c r="S5" s="15"/>
      <c r="T5" s="15"/>
      <c r="U5" s="15"/>
      <c r="W5" s="56"/>
      <c r="X5" s="56"/>
    </row>
    <row r="6" spans="1:24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34" t="s">
        <v>237</v>
      </c>
      <c r="M6" s="135"/>
      <c r="N6" s="134" t="s">
        <v>276</v>
      </c>
      <c r="O6" s="135"/>
      <c r="P6" s="134" t="s">
        <v>290</v>
      </c>
      <c r="Q6" s="135"/>
      <c r="R6" s="16" t="s">
        <v>5</v>
      </c>
      <c r="S6" s="130" t="s">
        <v>291</v>
      </c>
      <c r="T6" s="16" t="s">
        <v>8</v>
      </c>
      <c r="U6" s="16" t="s">
        <v>9</v>
      </c>
    </row>
    <row r="7" spans="1:24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61" t="s">
        <v>12</v>
      </c>
      <c r="M7" s="73" t="s">
        <v>13</v>
      </c>
      <c r="N7" s="61" t="s">
        <v>12</v>
      </c>
      <c r="O7" s="73" t="s">
        <v>13</v>
      </c>
      <c r="P7" s="61" t="s">
        <v>12</v>
      </c>
      <c r="Q7" s="73" t="s">
        <v>13</v>
      </c>
      <c r="R7" s="19" t="s">
        <v>14</v>
      </c>
      <c r="S7" s="131"/>
      <c r="T7" s="19" t="s">
        <v>15</v>
      </c>
      <c r="U7" s="19" t="s">
        <v>16</v>
      </c>
    </row>
    <row r="8" spans="1:24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62"/>
      <c r="M8" s="62"/>
      <c r="N8" s="62"/>
      <c r="O8" s="62"/>
      <c r="P8" s="62"/>
      <c r="Q8" s="62"/>
      <c r="R8" s="23"/>
      <c r="S8" s="23"/>
      <c r="T8" s="23"/>
      <c r="U8" s="24"/>
    </row>
    <row r="9" spans="1:24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44"/>
      <c r="M9" s="44"/>
      <c r="N9" s="44"/>
      <c r="O9" s="44"/>
      <c r="P9" s="44"/>
      <c r="Q9" s="44"/>
      <c r="R9" s="28"/>
      <c r="S9" s="28"/>
      <c r="T9" s="28"/>
      <c r="U9" s="27"/>
    </row>
    <row r="10" spans="1:24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44"/>
      <c r="M10" s="44"/>
      <c r="N10" s="44"/>
      <c r="O10" s="44"/>
      <c r="P10" s="44"/>
      <c r="Q10" s="44"/>
      <c r="R10" s="28">
        <f>C10+D10-E10+F10-G10+H10-I10+J10-K10+L10-M10+N10-O10+P10-Q10</f>
        <v>37000</v>
      </c>
      <c r="S10" s="28">
        <f>+'[1]ING DICIEMBRE 2024'!$Q$9</f>
        <v>44021</v>
      </c>
      <c r="T10" s="28">
        <f t="shared" ref="T10:T22" si="0">R10-S10</f>
        <v>-7021</v>
      </c>
      <c r="U10" s="88">
        <f>S10/$S$26</f>
        <v>5.291577260485722E-3</v>
      </c>
    </row>
    <row r="11" spans="1:24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44"/>
      <c r="M11" s="44"/>
      <c r="N11" s="44"/>
      <c r="O11" s="44"/>
      <c r="P11" s="44"/>
      <c r="Q11" s="44"/>
      <c r="R11" s="28">
        <f>C11+D11-E11+F11-G11+J11-K11</f>
        <v>0</v>
      </c>
      <c r="S11" s="28"/>
      <c r="T11" s="28">
        <v>0</v>
      </c>
      <c r="U11" s="88"/>
    </row>
    <row r="12" spans="1:24" ht="15.9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44"/>
      <c r="M12" s="44"/>
      <c r="N12" s="44"/>
      <c r="O12" s="44"/>
      <c r="P12" s="44">
        <v>23845.41</v>
      </c>
      <c r="Q12" s="44"/>
      <c r="R12" s="28">
        <f t="shared" ref="R12:R25" si="1">C12+D12-E12+F12-G12+H12-I12+J12-K12+L12-M12+N12-O12+P12-Q12</f>
        <v>54345.41</v>
      </c>
      <c r="S12" s="28">
        <f>+'[1]ING DICIEMBRE 2024'!$Q$11</f>
        <v>45755.41</v>
      </c>
      <c r="T12" s="28">
        <f t="shared" si="0"/>
        <v>8590</v>
      </c>
      <c r="U12" s="88">
        <f>S12/$S$26</f>
        <v>5.5000633129688335E-3</v>
      </c>
      <c r="V12" s="123">
        <v>-10000</v>
      </c>
      <c r="W12" s="123">
        <f>+T12+V12</f>
        <v>-1410</v>
      </c>
    </row>
    <row r="13" spans="1:24" ht="15.9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44"/>
      <c r="M13" s="44"/>
      <c r="N13" s="44"/>
      <c r="O13" s="44"/>
      <c r="P13" s="44"/>
      <c r="Q13" s="44">
        <v>3500</v>
      </c>
      <c r="R13" s="28">
        <f t="shared" si="1"/>
        <v>0</v>
      </c>
      <c r="S13" s="28"/>
      <c r="T13" s="28">
        <f t="shared" si="0"/>
        <v>0</v>
      </c>
      <c r="U13" s="88">
        <f>S13/$S$26</f>
        <v>0</v>
      </c>
    </row>
    <row r="14" spans="1:24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44"/>
      <c r="M14" s="44"/>
      <c r="N14" s="44"/>
      <c r="O14" s="44"/>
      <c r="P14" s="44"/>
      <c r="Q14" s="44"/>
      <c r="R14" s="28">
        <f t="shared" si="1"/>
        <v>0</v>
      </c>
      <c r="S14" s="28"/>
      <c r="T14" s="28"/>
      <c r="U14" s="88"/>
    </row>
    <row r="15" spans="1:24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44">
        <v>30000</v>
      </c>
      <c r="M15" s="44"/>
      <c r="N15" s="44"/>
      <c r="O15" s="44"/>
      <c r="P15" s="44">
        <v>23690.75</v>
      </c>
      <c r="Q15" s="44"/>
      <c r="R15" s="28">
        <f t="shared" si="1"/>
        <v>62490.75</v>
      </c>
      <c r="S15" s="28">
        <f>+'[1]ING DICIEMBRE 2024'!$Q$17</f>
        <v>62270.119999999995</v>
      </c>
      <c r="T15" s="28">
        <f t="shared" si="0"/>
        <v>220.63000000000466</v>
      </c>
      <c r="U15" s="88">
        <f>S15/$S$26</f>
        <v>7.4852263919428707E-3</v>
      </c>
      <c r="V15" s="123">
        <v>-6000</v>
      </c>
      <c r="W15" s="123">
        <f>+T15+V15</f>
        <v>-5779.3699999999953</v>
      </c>
    </row>
    <row r="16" spans="1:24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44"/>
      <c r="M16" s="44"/>
      <c r="N16" s="44"/>
      <c r="O16" s="44"/>
      <c r="P16" s="44"/>
      <c r="Q16" s="44"/>
      <c r="R16" s="28">
        <f t="shared" si="1"/>
        <v>0</v>
      </c>
      <c r="S16" s="28"/>
      <c r="T16" s="28"/>
      <c r="U16" s="88"/>
    </row>
    <row r="17" spans="1:25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44"/>
      <c r="M17" s="44"/>
      <c r="N17" s="44"/>
      <c r="O17" s="44"/>
      <c r="P17" s="44"/>
      <c r="Q17" s="44"/>
      <c r="R17" s="28">
        <f t="shared" si="1"/>
        <v>0</v>
      </c>
      <c r="S17" s="28"/>
      <c r="T17" s="28"/>
      <c r="U17" s="88"/>
    </row>
    <row r="18" spans="1:25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44">
        <v>-30000</v>
      </c>
      <c r="M18" s="44"/>
      <c r="N18" s="44"/>
      <c r="O18" s="44"/>
      <c r="P18" s="44">
        <v>70000</v>
      </c>
      <c r="Q18" s="44"/>
      <c r="R18" s="28">
        <f t="shared" si="1"/>
        <v>4008096.55</v>
      </c>
      <c r="S18" s="28">
        <f>+'[1]ING DICIEMBRE 2024'!$Q$23</f>
        <v>4002487.38</v>
      </c>
      <c r="T18" s="28">
        <f t="shared" si="0"/>
        <v>5609.1699999999255</v>
      </c>
      <c r="U18" s="88">
        <f>S18/$S$26</f>
        <v>0.48112199189907257</v>
      </c>
      <c r="V18" s="123">
        <v>364285.79000000004</v>
      </c>
      <c r="W18" s="123">
        <f>+V18-T18</f>
        <v>358676.62000000011</v>
      </c>
      <c r="X18" s="66">
        <f>+S18/R18</f>
        <v>0.99860054019906286</v>
      </c>
    </row>
    <row r="19" spans="1:25" ht="15.95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44"/>
      <c r="M19" s="44"/>
      <c r="N19" s="44">
        <v>276759.92</v>
      </c>
      <c r="O19" s="44"/>
      <c r="P19" s="44"/>
      <c r="Q19" s="44"/>
      <c r="R19" s="28">
        <f t="shared" si="1"/>
        <v>276759.92</v>
      </c>
      <c r="S19" s="28">
        <f>+'[1]ING DICIEMBRE 2024'!$Q$24</f>
        <v>276759.93</v>
      </c>
      <c r="T19" s="28">
        <f t="shared" si="0"/>
        <v>-1.0000000009313226E-2</v>
      </c>
      <c r="U19" s="88">
        <f>S19/$S$26</f>
        <v>3.3268134576716117E-2</v>
      </c>
      <c r="X19" s="52">
        <v>330674.71250000002</v>
      </c>
    </row>
    <row r="20" spans="1:25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44"/>
      <c r="M20" s="44"/>
      <c r="N20" s="63">
        <v>582877.05000000005</v>
      </c>
      <c r="O20" s="44"/>
      <c r="P20" s="63"/>
      <c r="Q20" s="44">
        <v>64036.160000000003</v>
      </c>
      <c r="R20" s="28">
        <f t="shared" si="1"/>
        <v>4780366.45</v>
      </c>
      <c r="S20" s="28">
        <f>+'[1]ING DICIEMBRE 2024'!$Q$25</f>
        <v>3871455.85</v>
      </c>
      <c r="T20" s="28">
        <f t="shared" si="0"/>
        <v>908910.60000000009</v>
      </c>
      <c r="U20" s="88">
        <f>S20/$S$26</f>
        <v>0.46537124874115587</v>
      </c>
      <c r="X20" s="66">
        <f>+X19-T18</f>
        <v>325065.5425000001</v>
      </c>
    </row>
    <row r="21" spans="1:25" ht="15.95" customHeight="1" x14ac:dyDescent="0.25">
      <c r="A21" s="29" t="s">
        <v>25</v>
      </c>
      <c r="B21" s="100" t="s">
        <v>281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44"/>
      <c r="M21" s="44"/>
      <c r="N21" s="44"/>
      <c r="O21" s="44"/>
      <c r="P21" s="44"/>
      <c r="Q21" s="44"/>
      <c r="R21" s="28">
        <f t="shared" si="1"/>
        <v>20000</v>
      </c>
      <c r="S21" s="28">
        <f>+'[1]ING DICIEMBRE 2024'!$Q$26</f>
        <v>16320</v>
      </c>
      <c r="T21" s="28">
        <f t="shared" si="0"/>
        <v>3680</v>
      </c>
      <c r="U21" s="88">
        <f>S21/$S$26</f>
        <v>1.9617578176580946E-3</v>
      </c>
    </row>
    <row r="22" spans="1:25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63"/>
      <c r="M22" s="63"/>
      <c r="N22" s="63"/>
      <c r="O22" s="63"/>
      <c r="P22" s="63"/>
      <c r="Q22" s="63">
        <v>50000</v>
      </c>
      <c r="R22" s="28">
        <f t="shared" si="1"/>
        <v>0</v>
      </c>
      <c r="S22" s="28"/>
      <c r="T22" s="28">
        <f t="shared" si="0"/>
        <v>0</v>
      </c>
      <c r="U22" s="88">
        <f>S22/$S$26</f>
        <v>0</v>
      </c>
      <c r="V22" s="123">
        <v>-50000</v>
      </c>
      <c r="W22" s="123">
        <f>+T22+V22</f>
        <v>-50000</v>
      </c>
    </row>
    <row r="23" spans="1:25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44"/>
      <c r="M23" s="44"/>
      <c r="N23" s="44"/>
      <c r="O23" s="44"/>
      <c r="P23" s="44"/>
      <c r="Q23" s="44"/>
      <c r="R23" s="28">
        <f t="shared" si="1"/>
        <v>0</v>
      </c>
      <c r="S23" s="28"/>
      <c r="T23" s="26"/>
      <c r="U23" s="88"/>
    </row>
    <row r="24" spans="1:25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44"/>
      <c r="M24" s="44"/>
      <c r="N24" s="44"/>
      <c r="O24" s="44"/>
      <c r="P24" s="44"/>
      <c r="Q24" s="44"/>
      <c r="R24" s="28">
        <f t="shared" si="1"/>
        <v>260547.84</v>
      </c>
      <c r="S24" s="28"/>
      <c r="T24" s="28">
        <f>R24-S24</f>
        <v>260547.84</v>
      </c>
      <c r="U24" s="88">
        <f>S24/$S$26</f>
        <v>0</v>
      </c>
    </row>
    <row r="25" spans="1:25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44"/>
      <c r="M25" s="44"/>
      <c r="N25" s="44"/>
      <c r="O25" s="44"/>
      <c r="P25" s="44"/>
      <c r="Q25" s="44"/>
      <c r="R25" s="28">
        <f t="shared" si="1"/>
        <v>2274050.3800000004</v>
      </c>
      <c r="S25" s="28"/>
      <c r="T25" s="28">
        <f>R25-S25</f>
        <v>2274050.3800000004</v>
      </c>
      <c r="U25" s="88">
        <f>S25/$S$26</f>
        <v>0</v>
      </c>
      <c r="V25" s="14">
        <f>SUM(T24:T25)</f>
        <v>2534598.2200000002</v>
      </c>
    </row>
    <row r="26" spans="1:25" ht="18" customHeight="1" thickBot="1" x14ac:dyDescent="0.3">
      <c r="A26" s="32"/>
      <c r="B26" s="106" t="s">
        <v>32</v>
      </c>
      <c r="C26" s="34">
        <f t="shared" ref="C26:R26" si="2">SUM(C9:C25)</f>
        <v>8258523.620000001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ref="L26:O26" si="3">SUM(L9:L25)</f>
        <v>0</v>
      </c>
      <c r="M26" s="34">
        <f t="shared" si="3"/>
        <v>0</v>
      </c>
      <c r="N26" s="34">
        <f t="shared" si="3"/>
        <v>859636.97</v>
      </c>
      <c r="O26" s="34">
        <f t="shared" si="3"/>
        <v>0</v>
      </c>
      <c r="P26" s="34">
        <f t="shared" ref="P26:Q26" si="4">SUM(P9:P25)</f>
        <v>117536.16</v>
      </c>
      <c r="Q26" s="34">
        <f t="shared" si="4"/>
        <v>117536.16</v>
      </c>
      <c r="R26" s="34">
        <f t="shared" si="2"/>
        <v>11773657.300000001</v>
      </c>
      <c r="S26" s="34">
        <f>SUM(S10:S25)</f>
        <v>8319069.6899999995</v>
      </c>
      <c r="T26" s="34">
        <f>SUM(T9:T25)</f>
        <v>3454587.6100000003</v>
      </c>
      <c r="U26" s="27">
        <f>+S26/R26</f>
        <v>0.70658330525723723</v>
      </c>
    </row>
    <row r="27" spans="1:25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62"/>
      <c r="M27" s="62"/>
      <c r="N27" s="62"/>
      <c r="O27" s="62"/>
      <c r="P27" s="62"/>
      <c r="Q27" s="62"/>
      <c r="R27" s="36"/>
      <c r="S27" s="36"/>
      <c r="T27" s="36"/>
      <c r="U27" s="37"/>
      <c r="V27" s="11" t="s">
        <v>294</v>
      </c>
      <c r="Y27" s="14"/>
    </row>
    <row r="28" spans="1:25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44"/>
      <c r="M28" s="44"/>
      <c r="N28" s="44"/>
      <c r="O28" s="44"/>
      <c r="P28" s="44"/>
      <c r="Q28" s="44"/>
      <c r="R28" s="28"/>
      <c r="S28" s="28"/>
      <c r="T28" s="28"/>
      <c r="U28" s="38"/>
    </row>
    <row r="29" spans="1:25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44"/>
      <c r="M29" s="44"/>
      <c r="N29" s="44"/>
      <c r="O29" s="44"/>
      <c r="P29" s="44"/>
      <c r="Q29" s="44"/>
      <c r="R29" s="28"/>
      <c r="S29" s="28"/>
      <c r="T29" s="28"/>
      <c r="U29" s="38"/>
    </row>
    <row r="30" spans="1:25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44"/>
      <c r="M30" s="44"/>
      <c r="N30" s="44"/>
      <c r="O30" s="44"/>
      <c r="P30" s="44"/>
      <c r="Q30" s="44"/>
      <c r="R30" s="28"/>
      <c r="S30" s="28"/>
      <c r="T30" s="28"/>
      <c r="U30" s="38"/>
    </row>
    <row r="31" spans="1:25" ht="15.95" customHeight="1" x14ac:dyDescent="0.25">
      <c r="A31" s="94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44"/>
      <c r="M31" s="44"/>
      <c r="N31" s="44"/>
      <c r="O31" s="44"/>
      <c r="P31" s="44"/>
      <c r="Q31" s="44"/>
      <c r="R31" s="28">
        <f t="shared" ref="R31:R94" si="5">C31+D31-E31+F31-G31+H31-I31+J31-K31+L31-M31+N31-O31+P31-Q31</f>
        <v>846201.45000000007</v>
      </c>
      <c r="S31" s="28">
        <f>+'[1]EGR DICIEMBRE 2024'!$Q$7</f>
        <v>808480.54999999981</v>
      </c>
      <c r="T31" s="28">
        <f t="shared" ref="T31:T100" si="6">R31-S31</f>
        <v>37720.900000000256</v>
      </c>
      <c r="U31" s="88">
        <f>S31/$S$144</f>
        <v>0.10305801684192702</v>
      </c>
    </row>
    <row r="32" spans="1:25" ht="30.75" customHeight="1" x14ac:dyDescent="0.25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44"/>
      <c r="M32" s="44"/>
      <c r="N32" s="44"/>
      <c r="O32" s="44"/>
      <c r="P32" s="44"/>
      <c r="Q32" s="44"/>
      <c r="R32" s="28">
        <f t="shared" si="5"/>
        <v>13700</v>
      </c>
      <c r="S32" s="28">
        <f>+'[1]EGR DICIEMBRE 2024'!$Q$8</f>
        <v>7687.5</v>
      </c>
      <c r="T32" s="28">
        <f t="shared" si="6"/>
        <v>6012.5</v>
      </c>
      <c r="U32" s="88">
        <f>S32/$S$144</f>
        <v>9.7993514435481969E-4</v>
      </c>
    </row>
    <row r="33" spans="1:23" ht="31.5" customHeight="1" x14ac:dyDescent="0.25">
      <c r="A33" s="94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44"/>
      <c r="M33" s="44"/>
      <c r="N33" s="44">
        <v>11000</v>
      </c>
      <c r="O33" s="44"/>
      <c r="P33" s="44"/>
      <c r="Q33" s="44"/>
      <c r="R33" s="28">
        <f t="shared" si="5"/>
        <v>322100</v>
      </c>
      <c r="S33" s="28">
        <f>+'[1]EGR DICIEMBRE 2024'!$Q$9</f>
        <v>278621.13</v>
      </c>
      <c r="T33" s="28">
        <f t="shared" si="6"/>
        <v>43478.869999999995</v>
      </c>
      <c r="U33" s="88">
        <f>S33/$S$144</f>
        <v>3.5516180454875187E-2</v>
      </c>
      <c r="V33" s="122">
        <f>(1500*11)+21524</f>
        <v>38024</v>
      </c>
      <c r="W33" s="52">
        <v>22000.000000000004</v>
      </c>
    </row>
    <row r="34" spans="1:23" ht="15.95" customHeight="1" x14ac:dyDescent="0.3">
      <c r="A34" s="41" t="s">
        <v>250</v>
      </c>
      <c r="B34" s="120" t="s">
        <v>282</v>
      </c>
      <c r="C34" s="28"/>
      <c r="D34" s="28"/>
      <c r="E34" s="28"/>
      <c r="F34" s="44"/>
      <c r="G34" s="44"/>
      <c r="H34" s="28"/>
      <c r="I34" s="28"/>
      <c r="J34" s="44"/>
      <c r="K34" s="44"/>
      <c r="L34" s="44"/>
      <c r="M34" s="44"/>
      <c r="N34" s="44"/>
      <c r="O34" s="44"/>
      <c r="P34" s="44"/>
      <c r="Q34" s="44"/>
      <c r="R34" s="28">
        <f t="shared" si="5"/>
        <v>0</v>
      </c>
      <c r="S34" s="28"/>
      <c r="T34" s="28">
        <f t="shared" si="6"/>
        <v>0</v>
      </c>
      <c r="U34" s="88"/>
    </row>
    <row r="35" spans="1:23" ht="15.95" customHeight="1" x14ac:dyDescent="0.25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44"/>
      <c r="M35" s="44"/>
      <c r="N35" s="44"/>
      <c r="O35" s="44"/>
      <c r="P35" s="44"/>
      <c r="Q35" s="44"/>
      <c r="R35" s="28">
        <f t="shared" si="5"/>
        <v>15400</v>
      </c>
      <c r="S35" s="28"/>
      <c r="T35" s="28">
        <f t="shared" si="6"/>
        <v>15400</v>
      </c>
      <c r="U35" s="88">
        <f t="shared" ref="U35:U42" si="7">S35/$S$144</f>
        <v>0</v>
      </c>
    </row>
    <row r="36" spans="1:23" ht="15.95" customHeight="1" x14ac:dyDescent="0.25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44"/>
      <c r="M36" s="44"/>
      <c r="N36" s="44"/>
      <c r="O36" s="44"/>
      <c r="P36" s="44"/>
      <c r="Q36" s="44"/>
      <c r="R36" s="28">
        <f t="shared" si="5"/>
        <v>32500</v>
      </c>
      <c r="S36" s="28">
        <f>+'[1]EGR DICIEMBRE 2024'!$Q$12</f>
        <v>24480</v>
      </c>
      <c r="T36" s="28">
        <f t="shared" si="6"/>
        <v>8020</v>
      </c>
      <c r="U36" s="88">
        <f t="shared" si="7"/>
        <v>3.1204959133406163E-3</v>
      </c>
    </row>
    <row r="37" spans="1:23" ht="15.95" customHeight="1" x14ac:dyDescent="0.25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44"/>
      <c r="M37" s="44"/>
      <c r="N37" s="44"/>
      <c r="O37" s="44"/>
      <c r="P37" s="44"/>
      <c r="Q37" s="44"/>
      <c r="R37" s="28">
        <f t="shared" si="5"/>
        <v>34510.800000000003</v>
      </c>
      <c r="S37" s="28">
        <f>+'[1]EGR DICIEMBRE 2024'!$Q$13</f>
        <v>29205.574999999997</v>
      </c>
      <c r="T37" s="28">
        <f t="shared" si="6"/>
        <v>5305.2250000000058</v>
      </c>
      <c r="U37" s="88">
        <f t="shared" si="7"/>
        <v>3.722870810223156E-3</v>
      </c>
      <c r="V37" s="11">
        <v>11343.02</v>
      </c>
      <c r="W37" s="127">
        <f>+T37-V37</f>
        <v>-6037.7949999999946</v>
      </c>
    </row>
    <row r="38" spans="1:23" ht="15.95" customHeight="1" x14ac:dyDescent="0.25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44"/>
      <c r="M38" s="44"/>
      <c r="N38" s="44"/>
      <c r="O38" s="44"/>
      <c r="P38" s="44"/>
      <c r="Q38" s="44"/>
      <c r="R38" s="28">
        <f t="shared" si="5"/>
        <v>115401.15</v>
      </c>
      <c r="S38" s="28">
        <f>+'[1]EGR DICIEMBRE 2024'!$Q$14</f>
        <v>89397.310000000012</v>
      </c>
      <c r="T38" s="28">
        <f t="shared" si="6"/>
        <v>26003.839999999982</v>
      </c>
      <c r="U38" s="88">
        <f t="shared" si="7"/>
        <v>1.1395585805500173E-2</v>
      </c>
    </row>
    <row r="39" spans="1:23" ht="15.95" customHeight="1" x14ac:dyDescent="0.25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44"/>
      <c r="M39" s="44"/>
      <c r="N39" s="44"/>
      <c r="O39" s="44"/>
      <c r="P39" s="44"/>
      <c r="Q39" s="44"/>
      <c r="R39" s="28">
        <f t="shared" si="5"/>
        <v>15190.84</v>
      </c>
      <c r="S39" s="28">
        <f>+'[1]EGR DICIEMBRE 2024'!$Q$15</f>
        <v>8376.86</v>
      </c>
      <c r="T39" s="28">
        <f t="shared" si="6"/>
        <v>6813.98</v>
      </c>
      <c r="U39" s="88">
        <f t="shared" si="7"/>
        <v>1.0678087171824542E-3</v>
      </c>
    </row>
    <row r="40" spans="1:23" ht="15.95" customHeight="1" x14ac:dyDescent="0.25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44"/>
      <c r="M40" s="44"/>
      <c r="N40" s="44"/>
      <c r="O40" s="44"/>
      <c r="P40" s="44"/>
      <c r="Q40" s="44"/>
      <c r="R40" s="28">
        <f t="shared" si="5"/>
        <v>75581.009999999995</v>
      </c>
      <c r="S40" s="28">
        <f>+'[1]EGR DICIEMBRE 2024'!$Q$16</f>
        <v>67568.87</v>
      </c>
      <c r="T40" s="28">
        <f t="shared" si="6"/>
        <v>8012.1399999999994</v>
      </c>
      <c r="U40" s="88">
        <f t="shared" si="7"/>
        <v>8.6130875287599405E-3</v>
      </c>
      <c r="V40" s="11">
        <v>61192.834689523013</v>
      </c>
      <c r="W40" s="127"/>
    </row>
    <row r="41" spans="1:23" ht="15.95" customHeight="1" x14ac:dyDescent="0.25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44"/>
      <c r="M41" s="44"/>
      <c r="N41" s="44"/>
      <c r="O41" s="44"/>
      <c r="P41" s="44"/>
      <c r="Q41" s="44"/>
      <c r="R41" s="28">
        <f t="shared" si="5"/>
        <v>75581.009999999995</v>
      </c>
      <c r="S41" s="28">
        <f>+'[1]EGR DICIEMBRE 2024'!$Q$17</f>
        <v>64403.34</v>
      </c>
      <c r="T41" s="28">
        <f t="shared" si="6"/>
        <v>11177.669999999998</v>
      </c>
      <c r="U41" s="88">
        <f t="shared" si="7"/>
        <v>8.2095734998156138E-3</v>
      </c>
    </row>
    <row r="42" spans="1:23" ht="15.95" customHeight="1" x14ac:dyDescent="0.25">
      <c r="A42" s="94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44"/>
      <c r="M42" s="44"/>
      <c r="N42" s="44">
        <v>1100</v>
      </c>
      <c r="O42" s="44"/>
      <c r="P42" s="44"/>
      <c r="Q42" s="44"/>
      <c r="R42" s="28">
        <f t="shared" si="5"/>
        <v>6100</v>
      </c>
      <c r="S42" s="28">
        <f>+'[1]EGR DICIEMBRE 2024'!$Q$18</f>
        <v>5492.33</v>
      </c>
      <c r="T42" s="28">
        <f t="shared" si="6"/>
        <v>607.67000000000007</v>
      </c>
      <c r="U42" s="88">
        <f t="shared" si="7"/>
        <v>7.0011410619763342E-4</v>
      </c>
      <c r="V42" s="122">
        <f>500*11</f>
        <v>5500</v>
      </c>
    </row>
    <row r="43" spans="1:23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44"/>
      <c r="M43" s="44"/>
      <c r="N43" s="44"/>
      <c r="O43" s="44"/>
      <c r="P43" s="44"/>
      <c r="Q43" s="44"/>
      <c r="R43" s="28">
        <f t="shared" si="5"/>
        <v>0</v>
      </c>
      <c r="S43" s="28"/>
      <c r="T43" s="28"/>
      <c r="U43" s="38"/>
    </row>
    <row r="44" spans="1:23" ht="15.95" customHeight="1" x14ac:dyDescent="0.25">
      <c r="A44" s="39">
        <v>1</v>
      </c>
      <c r="B44" s="108" t="s">
        <v>49</v>
      </c>
      <c r="C44" s="26"/>
      <c r="D44" s="28"/>
      <c r="E44" s="28"/>
      <c r="F44" s="44"/>
      <c r="G44" s="44"/>
      <c r="H44" s="28"/>
      <c r="I44" s="28"/>
      <c r="J44" s="44"/>
      <c r="K44" s="44"/>
      <c r="L44" s="44"/>
      <c r="M44" s="44"/>
      <c r="N44" s="44"/>
      <c r="O44" s="44"/>
      <c r="P44" s="44"/>
      <c r="Q44" s="44"/>
      <c r="R44" s="28">
        <f t="shared" si="5"/>
        <v>0</v>
      </c>
      <c r="S44" s="28"/>
      <c r="T44" s="28"/>
      <c r="U44" s="38"/>
    </row>
    <row r="45" spans="1:23" ht="15.95" customHeight="1" x14ac:dyDescent="0.25">
      <c r="A45" s="41" t="s">
        <v>91</v>
      </c>
      <c r="B45" s="100" t="s">
        <v>50</v>
      </c>
      <c r="C45" s="28">
        <v>13750</v>
      </c>
      <c r="D45" s="28"/>
      <c r="E45" s="28"/>
      <c r="F45" s="44"/>
      <c r="G45" s="44"/>
      <c r="H45" s="28"/>
      <c r="I45" s="28"/>
      <c r="J45" s="44"/>
      <c r="K45" s="44"/>
      <c r="L45" s="44">
        <v>5000</v>
      </c>
      <c r="M45" s="44"/>
      <c r="N45" s="44"/>
      <c r="O45" s="44"/>
      <c r="P45" s="44"/>
      <c r="Q45" s="44"/>
      <c r="R45" s="28">
        <f t="shared" si="5"/>
        <v>18750</v>
      </c>
      <c r="S45" s="28">
        <f>+'[1]EGR DICIEMBRE 2024'!$Q$19</f>
        <v>13519.789999999999</v>
      </c>
      <c r="T45" s="28">
        <f t="shared" si="6"/>
        <v>5230.2100000000009</v>
      </c>
      <c r="U45" s="88">
        <f t="shared" ref="U45:U62" si="8">S45/$S$144</f>
        <v>1.7233843727215412E-3</v>
      </c>
      <c r="V45" s="122">
        <v>1188.31</v>
      </c>
    </row>
    <row r="46" spans="1:23" ht="15.95" customHeight="1" x14ac:dyDescent="0.25">
      <c r="A46" s="41" t="s">
        <v>92</v>
      </c>
      <c r="B46" s="100" t="s">
        <v>51</v>
      </c>
      <c r="C46" s="28">
        <v>26100</v>
      </c>
      <c r="D46" s="28"/>
      <c r="E46" s="28"/>
      <c r="F46" s="44"/>
      <c r="G46" s="44"/>
      <c r="H46" s="28"/>
      <c r="I46" s="28"/>
      <c r="J46" s="44"/>
      <c r="K46" s="44"/>
      <c r="L46" s="44"/>
      <c r="M46" s="44"/>
      <c r="N46" s="44"/>
      <c r="O46" s="44"/>
      <c r="P46" s="44"/>
      <c r="Q46" s="44"/>
      <c r="R46" s="28">
        <f t="shared" si="5"/>
        <v>26100</v>
      </c>
      <c r="S46" s="28">
        <f>+'[1]EGR DICIEMBRE 2024'!$Q$20</f>
        <v>14513.190000000002</v>
      </c>
      <c r="T46" s="28">
        <f t="shared" si="6"/>
        <v>11586.809999999998</v>
      </c>
      <c r="U46" s="88">
        <f t="shared" si="8"/>
        <v>1.8500143008388851E-3</v>
      </c>
      <c r="V46" s="122">
        <v>653</v>
      </c>
    </row>
    <row r="47" spans="1:23" ht="15.95" customHeight="1" x14ac:dyDescent="0.25">
      <c r="A47" s="41" t="s">
        <v>93</v>
      </c>
      <c r="B47" s="100" t="s">
        <v>52</v>
      </c>
      <c r="C47" s="28">
        <v>2000</v>
      </c>
      <c r="D47" s="28"/>
      <c r="E47" s="28"/>
      <c r="F47" s="44"/>
      <c r="G47" s="44"/>
      <c r="H47" s="28"/>
      <c r="I47" s="28"/>
      <c r="J47" s="44"/>
      <c r="K47" s="44"/>
      <c r="L47" s="44"/>
      <c r="M47" s="44"/>
      <c r="N47" s="44"/>
      <c r="O47" s="44"/>
      <c r="P47" s="44"/>
      <c r="Q47" s="44"/>
      <c r="R47" s="28">
        <f t="shared" si="5"/>
        <v>2000</v>
      </c>
      <c r="S47" s="28">
        <f>+'[1]EGR DICIEMBRE 2024'!$Q$21</f>
        <v>1508.32</v>
      </c>
      <c r="T47" s="28">
        <f t="shared" si="6"/>
        <v>491.68000000000006</v>
      </c>
      <c r="U47" s="88">
        <f t="shared" si="8"/>
        <v>1.9226741813766006E-4</v>
      </c>
    </row>
    <row r="48" spans="1:23" ht="15.95" customHeight="1" x14ac:dyDescent="0.25">
      <c r="A48" s="41" t="s">
        <v>94</v>
      </c>
      <c r="B48" s="100" t="s">
        <v>159</v>
      </c>
      <c r="C48" s="28">
        <v>8000</v>
      </c>
      <c r="D48" s="28"/>
      <c r="E48" s="28"/>
      <c r="F48" s="44"/>
      <c r="G48" s="44"/>
      <c r="H48" s="28"/>
      <c r="I48" s="28"/>
      <c r="J48" s="44"/>
      <c r="K48" s="44"/>
      <c r="L48" s="44"/>
      <c r="M48" s="44"/>
      <c r="N48" s="44"/>
      <c r="O48" s="44"/>
      <c r="P48" s="44">
        <v>500</v>
      </c>
      <c r="Q48" s="44"/>
      <c r="R48" s="28">
        <f t="shared" si="5"/>
        <v>8500</v>
      </c>
      <c r="S48" s="28">
        <f>+'[1]EGR DICIEMBRE 2024'!$Q$22</f>
        <v>8165</v>
      </c>
      <c r="T48" s="28">
        <f t="shared" si="6"/>
        <v>335</v>
      </c>
      <c r="U48" s="88">
        <f t="shared" si="8"/>
        <v>1.0408026606383224E-3</v>
      </c>
    </row>
    <row r="49" spans="1:21" ht="15.95" customHeight="1" x14ac:dyDescent="0.25">
      <c r="A49" s="41" t="s">
        <v>95</v>
      </c>
      <c r="B49" s="100" t="s">
        <v>160</v>
      </c>
      <c r="C49" s="28">
        <v>14250</v>
      </c>
      <c r="D49" s="28"/>
      <c r="E49" s="28"/>
      <c r="F49" s="44"/>
      <c r="G49" s="44"/>
      <c r="H49" s="28"/>
      <c r="I49" s="28"/>
      <c r="J49" s="44"/>
      <c r="K49" s="44"/>
      <c r="L49" s="44"/>
      <c r="M49" s="44"/>
      <c r="N49" s="44"/>
      <c r="O49" s="44"/>
      <c r="P49" s="44"/>
      <c r="Q49" s="44">
        <v>500</v>
      </c>
      <c r="R49" s="28">
        <f t="shared" si="5"/>
        <v>13750</v>
      </c>
      <c r="S49" s="28">
        <f>+'[1]EGR DICIEMBRE 2024'!$Q$23</f>
        <v>9232.9500000000007</v>
      </c>
      <c r="T49" s="28">
        <f t="shared" si="6"/>
        <v>4517.0499999999993</v>
      </c>
      <c r="U49" s="88">
        <f t="shared" si="8"/>
        <v>1.1769355695701897E-3</v>
      </c>
    </row>
    <row r="50" spans="1:21" ht="15.95" customHeight="1" x14ac:dyDescent="0.25">
      <c r="A50" s="41" t="s">
        <v>96</v>
      </c>
      <c r="B50" s="100" t="s">
        <v>161</v>
      </c>
      <c r="C50" s="28">
        <v>673088.47</v>
      </c>
      <c r="D50" s="28"/>
      <c r="E50" s="28"/>
      <c r="F50" s="44">
        <v>300000</v>
      </c>
      <c r="G50" s="44"/>
      <c r="H50" s="28">
        <v>1130902.48</v>
      </c>
      <c r="I50" s="28"/>
      <c r="J50" s="44"/>
      <c r="K50" s="44"/>
      <c r="L50" s="44"/>
      <c r="M50" s="44"/>
      <c r="N50" s="44">
        <v>369629.34878048784</v>
      </c>
      <c r="O50" s="44"/>
      <c r="P50" s="44"/>
      <c r="Q50" s="44"/>
      <c r="R50" s="28">
        <f t="shared" si="5"/>
        <v>2473620.2987804879</v>
      </c>
      <c r="S50" s="28">
        <f>+'[1]EGR DICIEMBRE 2024'!$Q$24</f>
        <v>1811670.75</v>
      </c>
      <c r="T50" s="28">
        <f t="shared" si="6"/>
        <v>661949.54878048785</v>
      </c>
      <c r="U50" s="88">
        <f t="shared" si="8"/>
        <v>0.23093591387637782</v>
      </c>
    </row>
    <row r="51" spans="1:21" ht="15.95" customHeight="1" x14ac:dyDescent="0.25">
      <c r="A51" s="41" t="s">
        <v>97</v>
      </c>
      <c r="B51" s="100" t="s">
        <v>53</v>
      </c>
      <c r="C51" s="28">
        <v>563742.69999999995</v>
      </c>
      <c r="D51" s="28"/>
      <c r="E51" s="28"/>
      <c r="F51" s="44"/>
      <c r="G51" s="44">
        <v>300000</v>
      </c>
      <c r="H51" s="28">
        <v>293382.87</v>
      </c>
      <c r="I51" s="28"/>
      <c r="J51" s="44"/>
      <c r="K51" s="44"/>
      <c r="L51" s="44"/>
      <c r="M51" s="44">
        <v>110000</v>
      </c>
      <c r="N51" s="44"/>
      <c r="O51" s="44"/>
      <c r="P51" s="44"/>
      <c r="Q51" s="44"/>
      <c r="R51" s="28">
        <f t="shared" si="5"/>
        <v>447125.56999999995</v>
      </c>
      <c r="S51" s="28">
        <f>+'[1]EGR DICIEMBRE 2024'!$Q$25</f>
        <v>275071.72000000003</v>
      </c>
      <c r="T51" s="28">
        <f t="shared" si="6"/>
        <v>172053.84999999992</v>
      </c>
      <c r="U51" s="88">
        <f t="shared" si="8"/>
        <v>3.506373276697608E-2</v>
      </c>
    </row>
    <row r="52" spans="1:21" ht="15.95" customHeight="1" x14ac:dyDescent="0.25">
      <c r="A52" s="41">
        <v>136</v>
      </c>
      <c r="B52" s="100" t="s">
        <v>274</v>
      </c>
      <c r="C52" s="28"/>
      <c r="D52" s="28"/>
      <c r="E52" s="28"/>
      <c r="F52" s="44"/>
      <c r="G52" s="44"/>
      <c r="H52" s="28"/>
      <c r="I52" s="28"/>
      <c r="J52" s="44"/>
      <c r="K52" s="44"/>
      <c r="L52" s="44">
        <v>100000</v>
      </c>
      <c r="M52" s="44"/>
      <c r="N52" s="44">
        <v>28433.026829268296</v>
      </c>
      <c r="O52" s="44"/>
      <c r="P52" s="44"/>
      <c r="Q52" s="44"/>
      <c r="R52" s="28">
        <f t="shared" si="5"/>
        <v>128433.02682926829</v>
      </c>
      <c r="S52" s="28">
        <f>+'[1]EGR DICIEMBRE 2024'!$Q$26</f>
        <v>34595.620000000003</v>
      </c>
      <c r="T52" s="28">
        <f t="shared" si="6"/>
        <v>93837.406829268293</v>
      </c>
      <c r="U52" s="88">
        <f t="shared" si="8"/>
        <v>4.4099465208122914E-3</v>
      </c>
    </row>
    <row r="53" spans="1:21" ht="15.95" customHeight="1" x14ac:dyDescent="0.25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44"/>
      <c r="M53" s="44"/>
      <c r="N53" s="44">
        <v>184814.67439024392</v>
      </c>
      <c r="O53" s="44"/>
      <c r="P53" s="44"/>
      <c r="Q53" s="44"/>
      <c r="R53" s="28">
        <f t="shared" si="5"/>
        <v>1503864.3743902438</v>
      </c>
      <c r="S53" s="28">
        <f>+'[1]EGR DICIEMBRE 2024'!$Q$27</f>
        <v>927783.18</v>
      </c>
      <c r="T53" s="28">
        <f t="shared" si="6"/>
        <v>576081.19439024373</v>
      </c>
      <c r="U53" s="88">
        <f t="shared" si="8"/>
        <v>0.11826567081928764</v>
      </c>
    </row>
    <row r="54" spans="1:21" ht="15.95" customHeight="1" x14ac:dyDescent="0.25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44"/>
      <c r="M54" s="44"/>
      <c r="N54" s="44"/>
      <c r="O54" s="44"/>
      <c r="P54" s="44"/>
      <c r="Q54" s="44"/>
      <c r="R54" s="28">
        <f t="shared" si="5"/>
        <v>225000</v>
      </c>
      <c r="S54" s="28">
        <f>+'[1]EGR DICIEMBRE 2024'!$Q$28</f>
        <v>97220.47</v>
      </c>
      <c r="T54" s="28">
        <f t="shared" si="6"/>
        <v>127779.53</v>
      </c>
      <c r="U54" s="88">
        <f t="shared" si="8"/>
        <v>1.2392813698041421E-2</v>
      </c>
    </row>
    <row r="55" spans="1:21" ht="15.95" customHeight="1" x14ac:dyDescent="0.25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44"/>
      <c r="M55" s="44"/>
      <c r="N55" s="44"/>
      <c r="O55" s="44"/>
      <c r="P55" s="44"/>
      <c r="Q55" s="44"/>
      <c r="R55" s="28">
        <f t="shared" si="5"/>
        <v>75000</v>
      </c>
      <c r="S55" s="28">
        <f>+'[1]EGR DICIEMBRE 2024'!$Q$29</f>
        <v>286.05</v>
      </c>
      <c r="T55" s="28">
        <f t="shared" si="6"/>
        <v>74713.95</v>
      </c>
      <c r="U55" s="88">
        <f t="shared" si="8"/>
        <v>3.6463147712871048E-5</v>
      </c>
    </row>
    <row r="56" spans="1:21" ht="15.95" customHeight="1" x14ac:dyDescent="0.25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44"/>
      <c r="M56" s="44"/>
      <c r="N56" s="44"/>
      <c r="O56" s="44"/>
      <c r="P56" s="44"/>
      <c r="Q56" s="44"/>
      <c r="R56" s="28">
        <f t="shared" si="5"/>
        <v>90000</v>
      </c>
      <c r="S56" s="28">
        <f>+'[1]EGR DICIEMBRE 2024'!$Q$30</f>
        <v>90000</v>
      </c>
      <c r="T56" s="28">
        <f t="shared" si="6"/>
        <v>0</v>
      </c>
      <c r="U56" s="88">
        <f t="shared" si="8"/>
        <v>1.1472411446105207E-2</v>
      </c>
    </row>
    <row r="57" spans="1:21" ht="15.95" customHeight="1" x14ac:dyDescent="0.25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44"/>
      <c r="M57" s="44"/>
      <c r="N57" s="44">
        <v>25000</v>
      </c>
      <c r="O57" s="44"/>
      <c r="P57" s="44"/>
      <c r="Q57" s="44"/>
      <c r="R57" s="28">
        <f t="shared" si="5"/>
        <v>35400</v>
      </c>
      <c r="S57" s="28">
        <f>+'[1]EGR DICIEMBRE 2024'!$Q$31</f>
        <v>7600</v>
      </c>
      <c r="T57" s="28">
        <f t="shared" si="6"/>
        <v>27800</v>
      </c>
      <c r="U57" s="88">
        <f t="shared" si="8"/>
        <v>9.6878141100443973E-4</v>
      </c>
    </row>
    <row r="58" spans="1:21" ht="31.5" customHeight="1" x14ac:dyDescent="0.25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44"/>
      <c r="M58" s="44"/>
      <c r="N58" s="44"/>
      <c r="O58" s="44"/>
      <c r="P58" s="44"/>
      <c r="Q58" s="44"/>
      <c r="R58" s="28">
        <f t="shared" si="5"/>
        <v>3004.32</v>
      </c>
      <c r="S58" s="28">
        <f>+'[1]EGR DICIEMBRE 2024'!$Q$32</f>
        <v>550</v>
      </c>
      <c r="T58" s="28">
        <f t="shared" si="6"/>
        <v>2454.3200000000002</v>
      </c>
      <c r="U58" s="88">
        <f t="shared" si="8"/>
        <v>7.0109181059531818E-5</v>
      </c>
    </row>
    <row r="59" spans="1:21" ht="31.5" customHeight="1" x14ac:dyDescent="0.25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44"/>
      <c r="M59" s="44"/>
      <c r="N59" s="44"/>
      <c r="O59" s="44"/>
      <c r="P59" s="44"/>
      <c r="Q59" s="44"/>
      <c r="R59" s="28">
        <f t="shared" si="5"/>
        <v>7750</v>
      </c>
      <c r="S59" s="28">
        <f>+'[1]EGR DICIEMBRE 2024'!$Q$33</f>
        <v>2450</v>
      </c>
      <c r="T59" s="28">
        <f t="shared" si="6"/>
        <v>5300</v>
      </c>
      <c r="U59" s="88">
        <f t="shared" si="8"/>
        <v>3.1230453381064175E-4</v>
      </c>
    </row>
    <row r="60" spans="1:21" ht="30.75" customHeight="1" x14ac:dyDescent="0.25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44"/>
      <c r="M60" s="44"/>
      <c r="N60" s="44"/>
      <c r="O60" s="44"/>
      <c r="P60" s="44"/>
      <c r="Q60" s="44"/>
      <c r="R60" s="28">
        <f t="shared" si="5"/>
        <v>7000</v>
      </c>
      <c r="S60" s="28">
        <f>+'[1]EGR DICIEMBRE 2024'!$Q$34</f>
        <v>691.53</v>
      </c>
      <c r="T60" s="28">
        <f t="shared" si="6"/>
        <v>6308.47</v>
      </c>
      <c r="U60" s="88">
        <f t="shared" si="8"/>
        <v>8.815018541472371E-5</v>
      </c>
    </row>
    <row r="61" spans="1:21" ht="30.75" customHeight="1" x14ac:dyDescent="0.25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44"/>
      <c r="M61" s="44"/>
      <c r="N61" s="44"/>
      <c r="O61" s="44">
        <v>460</v>
      </c>
      <c r="P61" s="44"/>
      <c r="Q61" s="44"/>
      <c r="R61" s="28">
        <f t="shared" si="5"/>
        <v>13540</v>
      </c>
      <c r="S61" s="28">
        <f>+'[1]EGR DICIEMBRE 2024'!$Q$35</f>
        <v>820</v>
      </c>
      <c r="T61" s="28">
        <f t="shared" si="6"/>
        <v>12720</v>
      </c>
      <c r="U61" s="88">
        <f t="shared" si="8"/>
        <v>1.0452641539784744E-4</v>
      </c>
    </row>
    <row r="62" spans="1:21" ht="15.95" hidden="1" customHeight="1" x14ac:dyDescent="0.25">
      <c r="A62" s="41" t="s">
        <v>106</v>
      </c>
      <c r="B62" s="100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44"/>
      <c r="M62" s="44"/>
      <c r="N62" s="44"/>
      <c r="O62" s="44"/>
      <c r="P62" s="44"/>
      <c r="Q62" s="44"/>
      <c r="R62" s="28">
        <f t="shared" si="5"/>
        <v>0</v>
      </c>
      <c r="S62" s="28"/>
      <c r="T62" s="28">
        <f t="shared" si="6"/>
        <v>0</v>
      </c>
      <c r="U62" s="88">
        <f t="shared" si="8"/>
        <v>0</v>
      </c>
    </row>
    <row r="63" spans="1:21" ht="15.95" customHeight="1" x14ac:dyDescent="0.25">
      <c r="A63" s="41">
        <v>169</v>
      </c>
      <c r="B63" s="100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44"/>
      <c r="M63" s="44"/>
      <c r="N63" s="44"/>
      <c r="O63" s="44"/>
      <c r="P63" s="44"/>
      <c r="Q63" s="44"/>
      <c r="R63" s="28">
        <f t="shared" si="5"/>
        <v>15000</v>
      </c>
      <c r="S63" s="28"/>
      <c r="T63" s="28">
        <f t="shared" si="6"/>
        <v>15000</v>
      </c>
      <c r="U63" s="88"/>
    </row>
    <row r="64" spans="1:21" ht="15.95" customHeight="1" x14ac:dyDescent="0.25">
      <c r="A64" s="41">
        <v>171</v>
      </c>
      <c r="B64" s="100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44"/>
      <c r="M64" s="44"/>
      <c r="N64" s="44"/>
      <c r="O64" s="44"/>
      <c r="P64" s="44"/>
      <c r="Q64" s="44"/>
      <c r="R64" s="28">
        <f t="shared" si="5"/>
        <v>15000</v>
      </c>
      <c r="S64" s="28"/>
      <c r="T64" s="28">
        <f t="shared" si="6"/>
        <v>15000</v>
      </c>
      <c r="U64" s="88"/>
    </row>
    <row r="65" spans="1:25" ht="15.95" customHeight="1" x14ac:dyDescent="0.25">
      <c r="A65" s="41" t="s">
        <v>107</v>
      </c>
      <c r="B65" s="100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44"/>
      <c r="M65" s="44"/>
      <c r="N65" s="44"/>
      <c r="O65" s="44"/>
      <c r="P65" s="44"/>
      <c r="Q65" s="44"/>
      <c r="R65" s="28">
        <f t="shared" si="5"/>
        <v>30750</v>
      </c>
      <c r="S65" s="28"/>
      <c r="T65" s="28">
        <f t="shared" si="6"/>
        <v>30750</v>
      </c>
      <c r="U65" s="88">
        <f>S65/$S$144</f>
        <v>0</v>
      </c>
    </row>
    <row r="66" spans="1:25" ht="34.5" customHeight="1" x14ac:dyDescent="0.25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44"/>
      <c r="M66" s="44"/>
      <c r="N66" s="44"/>
      <c r="O66" s="44"/>
      <c r="P66" s="44"/>
      <c r="Q66" s="44"/>
      <c r="R66" s="28">
        <f t="shared" si="5"/>
        <v>20000</v>
      </c>
      <c r="S66" s="28">
        <f>+'[1]EGR DICIEMBRE 2024'!$Q$38</f>
        <v>4000</v>
      </c>
      <c r="T66" s="28">
        <f t="shared" si="6"/>
        <v>16000</v>
      </c>
      <c r="U66" s="88"/>
    </row>
    <row r="67" spans="1:25" ht="33" customHeight="1" x14ac:dyDescent="0.25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44"/>
      <c r="M67" s="44"/>
      <c r="N67" s="44"/>
      <c r="O67" s="44"/>
      <c r="P67" s="44"/>
      <c r="Q67" s="44"/>
      <c r="R67" s="28">
        <f t="shared" si="5"/>
        <v>260706.83</v>
      </c>
      <c r="S67" s="28"/>
      <c r="T67" s="28">
        <f t="shared" si="6"/>
        <v>260706.83</v>
      </c>
      <c r="U67" s="88">
        <f t="shared" ref="U67:U81" si="9">S67/$S$144</f>
        <v>0</v>
      </c>
    </row>
    <row r="68" spans="1:25" ht="15.95" customHeight="1" x14ac:dyDescent="0.25">
      <c r="A68" s="41">
        <v>182</v>
      </c>
      <c r="B68" s="100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44"/>
      <c r="M68" s="44"/>
      <c r="N68" s="44"/>
      <c r="O68" s="44">
        <v>3776</v>
      </c>
      <c r="P68" s="44"/>
      <c r="Q68" s="44"/>
      <c r="R68" s="28">
        <f t="shared" si="5"/>
        <v>6224</v>
      </c>
      <c r="S68" s="28"/>
      <c r="T68" s="28">
        <f t="shared" si="6"/>
        <v>6224</v>
      </c>
      <c r="U68" s="88">
        <f t="shared" si="9"/>
        <v>0</v>
      </c>
    </row>
    <row r="69" spans="1:25" ht="15.95" customHeight="1" x14ac:dyDescent="0.25">
      <c r="A69" s="41" t="s">
        <v>109</v>
      </c>
      <c r="B69" s="100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44"/>
      <c r="M69" s="44"/>
      <c r="N69" s="44"/>
      <c r="O69" s="44"/>
      <c r="P69" s="44"/>
      <c r="Q69" s="44"/>
      <c r="R69" s="28">
        <f t="shared" si="5"/>
        <v>60000</v>
      </c>
      <c r="S69" s="28">
        <f>+'[1]EGR DICIEMBRE 2024'!$Q$40</f>
        <v>55018.44</v>
      </c>
      <c r="T69" s="28">
        <f t="shared" si="6"/>
        <v>4981.5599999999977</v>
      </c>
      <c r="U69" s="88">
        <f t="shared" si="9"/>
        <v>7.0132686755872507E-3</v>
      </c>
      <c r="V69" s="129">
        <v>8960</v>
      </c>
      <c r="W69" s="129">
        <f>+V69*12</f>
        <v>107520</v>
      </c>
      <c r="X69" s="129">
        <f>+R69-W69</f>
        <v>-47520</v>
      </c>
      <c r="Y69" s="11" t="s">
        <v>286</v>
      </c>
    </row>
    <row r="70" spans="1:25" ht="32.25" customHeight="1" x14ac:dyDescent="0.25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44"/>
      <c r="M70" s="44"/>
      <c r="N70" s="44"/>
      <c r="O70" s="44"/>
      <c r="P70" s="44"/>
      <c r="Q70" s="44">
        <v>14000</v>
      </c>
      <c r="R70" s="28">
        <f t="shared" si="5"/>
        <v>130000</v>
      </c>
      <c r="S70" s="28">
        <f>+'[1]EGR DICIEMBRE 2024'!$Q$41</f>
        <v>59600</v>
      </c>
      <c r="T70" s="28">
        <f t="shared" si="6"/>
        <v>70400</v>
      </c>
      <c r="U70" s="88">
        <f t="shared" si="9"/>
        <v>7.5972858020874482E-3</v>
      </c>
      <c r="V70" s="11" t="s">
        <v>286</v>
      </c>
      <c r="W70" s="128">
        <v>-47520</v>
      </c>
      <c r="X70" s="129">
        <f>+R70+X69</f>
        <v>82480</v>
      </c>
    </row>
    <row r="71" spans="1:25" ht="15.95" customHeight="1" x14ac:dyDescent="0.25">
      <c r="A71" s="41" t="s">
        <v>111</v>
      </c>
      <c r="B71" s="100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44"/>
      <c r="M71" s="44"/>
      <c r="N71" s="44"/>
      <c r="O71" s="44">
        <v>8324</v>
      </c>
      <c r="P71" s="44"/>
      <c r="Q71" s="44"/>
      <c r="R71" s="28">
        <f t="shared" si="5"/>
        <v>1176</v>
      </c>
      <c r="S71" s="28">
        <f>+'[1]EGR DICIEMBRE 2024'!$Q$42</f>
        <v>1176</v>
      </c>
      <c r="T71" s="28">
        <f t="shared" si="6"/>
        <v>0</v>
      </c>
      <c r="U71" s="88">
        <f t="shared" si="9"/>
        <v>1.4990617622910805E-4</v>
      </c>
    </row>
    <row r="72" spans="1:25" ht="32.25" customHeight="1" x14ac:dyDescent="0.25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44"/>
      <c r="M72" s="44"/>
      <c r="N72" s="44"/>
      <c r="O72" s="44">
        <v>24540</v>
      </c>
      <c r="P72" s="44">
        <v>14000</v>
      </c>
      <c r="Q72" s="44"/>
      <c r="R72" s="28">
        <f t="shared" si="5"/>
        <v>14000</v>
      </c>
      <c r="S72" s="28">
        <f>+'[1]EGR DICIEMBRE 2024'!$Q$43</f>
        <v>14000</v>
      </c>
      <c r="T72" s="28">
        <f t="shared" si="6"/>
        <v>0</v>
      </c>
      <c r="U72" s="88">
        <f t="shared" si="9"/>
        <v>1.78459733606081E-3</v>
      </c>
      <c r="V72" s="122">
        <v>20000</v>
      </c>
      <c r="W72" s="124"/>
      <c r="X72" s="52" t="s">
        <v>284</v>
      </c>
    </row>
    <row r="73" spans="1:25" ht="15.95" customHeight="1" x14ac:dyDescent="0.25">
      <c r="A73" s="41" t="s">
        <v>113</v>
      </c>
      <c r="B73" s="100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44"/>
      <c r="M73" s="44"/>
      <c r="N73" s="44"/>
      <c r="O73" s="44"/>
      <c r="P73" s="44"/>
      <c r="Q73" s="44"/>
      <c r="R73" s="28">
        <f t="shared" si="5"/>
        <v>963300</v>
      </c>
      <c r="S73" s="28">
        <f>+'[1]EGR DICIEMBRE 2024'!$Q$44</f>
        <v>898497.39999999991</v>
      </c>
      <c r="T73" s="28">
        <f t="shared" si="6"/>
        <v>64802.600000000093</v>
      </c>
      <c r="U73" s="88">
        <f t="shared" si="9"/>
        <v>0.11453257617839742</v>
      </c>
    </row>
    <row r="74" spans="1:25" ht="32.25" customHeight="1" x14ac:dyDescent="0.25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44"/>
      <c r="M74" s="44"/>
      <c r="N74" s="44"/>
      <c r="O74" s="44"/>
      <c r="P74" s="44"/>
      <c r="Q74" s="44"/>
      <c r="R74" s="28">
        <f t="shared" si="5"/>
        <v>8000</v>
      </c>
      <c r="S74" s="28"/>
      <c r="T74" s="28">
        <f t="shared" si="6"/>
        <v>8000</v>
      </c>
      <c r="U74" s="88">
        <f t="shared" si="9"/>
        <v>0</v>
      </c>
    </row>
    <row r="75" spans="1:25" ht="15.95" customHeight="1" x14ac:dyDescent="0.25">
      <c r="A75" s="41" t="s">
        <v>115</v>
      </c>
      <c r="B75" s="100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44"/>
      <c r="M75" s="44"/>
      <c r="N75" s="44"/>
      <c r="O75" s="44">
        <v>130000</v>
      </c>
      <c r="P75" s="44"/>
      <c r="Q75" s="44"/>
      <c r="R75" s="28">
        <f t="shared" si="5"/>
        <v>0</v>
      </c>
      <c r="S75" s="28"/>
      <c r="T75" s="28">
        <f t="shared" si="6"/>
        <v>0</v>
      </c>
      <c r="U75" s="88">
        <f t="shared" si="9"/>
        <v>0</v>
      </c>
    </row>
    <row r="76" spans="1:25" ht="15.95" customHeight="1" x14ac:dyDescent="0.25">
      <c r="A76" s="41" t="s">
        <v>116</v>
      </c>
      <c r="B76" s="100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44"/>
      <c r="M76" s="44"/>
      <c r="N76" s="44"/>
      <c r="O76" s="44"/>
      <c r="P76" s="44"/>
      <c r="Q76" s="44"/>
      <c r="R76" s="28">
        <f t="shared" si="5"/>
        <v>8250</v>
      </c>
      <c r="S76" s="28">
        <f>+'[1]EGR DICIEMBRE 2024'!$Q$47</f>
        <v>6545.2999999999993</v>
      </c>
      <c r="T76" s="28">
        <f t="shared" si="6"/>
        <v>1704.7000000000007</v>
      </c>
      <c r="U76" s="88">
        <f t="shared" si="9"/>
        <v>8.3433749597991555E-4</v>
      </c>
    </row>
    <row r="77" spans="1:25" ht="15.95" customHeight="1" x14ac:dyDescent="0.25">
      <c r="A77" s="41" t="s">
        <v>117</v>
      </c>
      <c r="B77" s="100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44"/>
      <c r="M77" s="44"/>
      <c r="N77" s="44"/>
      <c r="O77" s="44"/>
      <c r="P77" s="44"/>
      <c r="Q77" s="44"/>
      <c r="R77" s="28">
        <f t="shared" si="5"/>
        <v>2500</v>
      </c>
      <c r="S77" s="28">
        <f>+'[1]EGR DICIEMBRE 2024'!$Q$48</f>
        <v>1960.0900000000001</v>
      </c>
      <c r="T77" s="28">
        <f t="shared" si="6"/>
        <v>539.90999999999985</v>
      </c>
      <c r="U77" s="88">
        <f t="shared" si="9"/>
        <v>2.4985509945995953E-4</v>
      </c>
    </row>
    <row r="78" spans="1:25" ht="15.95" customHeight="1" x14ac:dyDescent="0.25">
      <c r="A78" s="41" t="s">
        <v>118</v>
      </c>
      <c r="B78" s="100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44"/>
      <c r="M78" s="44"/>
      <c r="N78" s="44"/>
      <c r="O78" s="44"/>
      <c r="P78" s="44"/>
      <c r="Q78" s="44">
        <v>6000</v>
      </c>
      <c r="R78" s="28">
        <f t="shared" si="5"/>
        <v>119000</v>
      </c>
      <c r="S78" s="28">
        <f>+'[1]EGR DICIEMBRE 2024'!$Q$49</f>
        <v>24946.53</v>
      </c>
      <c r="T78" s="28">
        <f t="shared" si="6"/>
        <v>94053.47</v>
      </c>
      <c r="U78" s="88">
        <f t="shared" si="9"/>
        <v>3.1799650701400768E-3</v>
      </c>
      <c r="V78" s="122">
        <v>-20000</v>
      </c>
      <c r="W78" s="124"/>
    </row>
    <row r="79" spans="1:25" ht="15.95" customHeight="1" x14ac:dyDescent="0.25">
      <c r="A79" s="41" t="s">
        <v>119</v>
      </c>
      <c r="B79" s="100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44"/>
      <c r="M79" s="44"/>
      <c r="N79" s="44"/>
      <c r="O79" s="44"/>
      <c r="P79" s="44"/>
      <c r="Q79" s="44"/>
      <c r="R79" s="28">
        <f t="shared" si="5"/>
        <v>50000</v>
      </c>
      <c r="S79" s="28">
        <f>+'[1]EGR DICIEMBRE 2024'!$Q$50</f>
        <v>29402.86</v>
      </c>
      <c r="T79" s="28">
        <f t="shared" si="6"/>
        <v>20597.14</v>
      </c>
      <c r="U79" s="88">
        <f t="shared" si="9"/>
        <v>3.7480189734692107E-3</v>
      </c>
    </row>
    <row r="80" spans="1:25" ht="15.95" customHeight="1" x14ac:dyDescent="0.25">
      <c r="A80" s="41" t="s">
        <v>178</v>
      </c>
      <c r="B80" s="100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44"/>
      <c r="M80" s="44"/>
      <c r="N80" s="44"/>
      <c r="O80" s="44">
        <v>46100</v>
      </c>
      <c r="P80" s="44"/>
      <c r="Q80" s="44"/>
      <c r="R80" s="28">
        <f t="shared" si="5"/>
        <v>0</v>
      </c>
      <c r="S80" s="28"/>
      <c r="T80" s="28">
        <f t="shared" si="6"/>
        <v>0</v>
      </c>
      <c r="U80" s="88">
        <f t="shared" si="9"/>
        <v>0</v>
      </c>
      <c r="Y80" s="14"/>
    </row>
    <row r="81" spans="1:25" ht="15.95" customHeight="1" x14ac:dyDescent="0.25">
      <c r="A81" s="41" t="s">
        <v>120</v>
      </c>
      <c r="B81" s="100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44"/>
      <c r="M81" s="44"/>
      <c r="N81" s="44"/>
      <c r="O81" s="44">
        <v>47102.68</v>
      </c>
      <c r="P81" s="44">
        <v>6000</v>
      </c>
      <c r="Q81" s="44"/>
      <c r="R81" s="28">
        <f t="shared" si="5"/>
        <v>9897.32</v>
      </c>
      <c r="S81" s="28">
        <f>+'[1]EGR DICIEMBRE 2024'!$Q$52</f>
        <v>9826.74</v>
      </c>
      <c r="T81" s="28">
        <f t="shared" si="6"/>
        <v>70.579999999999927</v>
      </c>
      <c r="U81" s="88">
        <f t="shared" si="9"/>
        <v>1.252626716154443E-3</v>
      </c>
      <c r="Y81" s="4"/>
    </row>
    <row r="82" spans="1:25" ht="15.95" customHeight="1" x14ac:dyDescent="0.25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44"/>
      <c r="M82" s="44"/>
      <c r="N82" s="44"/>
      <c r="O82" s="44"/>
      <c r="P82" s="44"/>
      <c r="Q82" s="44"/>
      <c r="R82" s="28">
        <f t="shared" si="5"/>
        <v>0</v>
      </c>
      <c r="S82" s="28"/>
      <c r="T82" s="28"/>
      <c r="U82" s="88"/>
    </row>
    <row r="83" spans="1:25" ht="15.95" customHeight="1" x14ac:dyDescent="0.25">
      <c r="A83" s="39">
        <v>2</v>
      </c>
      <c r="B83" s="108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44"/>
      <c r="M83" s="44"/>
      <c r="N83" s="44"/>
      <c r="O83" s="44"/>
      <c r="P83" s="44"/>
      <c r="Q83" s="44"/>
      <c r="R83" s="28">
        <f t="shared" si="5"/>
        <v>0</v>
      </c>
      <c r="S83" s="28"/>
      <c r="T83" s="28"/>
      <c r="U83" s="88"/>
    </row>
    <row r="84" spans="1:25" ht="15.95" customHeight="1" x14ac:dyDescent="0.25">
      <c r="A84" s="41" t="s">
        <v>121</v>
      </c>
      <c r="B84" s="100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44"/>
      <c r="M84" s="44"/>
      <c r="N84" s="44"/>
      <c r="O84" s="44">
        <v>76797.320000000007</v>
      </c>
      <c r="P84" s="44"/>
      <c r="Q84" s="44"/>
      <c r="R84" s="28">
        <f t="shared" si="5"/>
        <v>69986.78</v>
      </c>
      <c r="S84" s="28">
        <f>+'[1]EGR DICIEMBRE 2024'!$Q$53</f>
        <v>62826.270000000004</v>
      </c>
      <c r="T84" s="28">
        <f t="shared" si="6"/>
        <v>7160.5099999999948</v>
      </c>
      <c r="U84" s="88">
        <f t="shared" ref="U84:U120" si="10">S84/$S$144</f>
        <v>8.0085424340455135E-3</v>
      </c>
      <c r="Y84" s="4"/>
    </row>
    <row r="85" spans="1:25" ht="15.95" hidden="1" customHeight="1" x14ac:dyDescent="0.25">
      <c r="A85" s="41">
        <v>214</v>
      </c>
      <c r="B85" s="100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44"/>
      <c r="M85" s="44"/>
      <c r="N85" s="44"/>
      <c r="O85" s="44"/>
      <c r="P85" s="44"/>
      <c r="Q85" s="44"/>
      <c r="R85" s="28">
        <f t="shared" si="5"/>
        <v>0</v>
      </c>
      <c r="S85" s="28"/>
      <c r="T85" s="28">
        <f t="shared" si="6"/>
        <v>0</v>
      </c>
      <c r="U85" s="88">
        <f t="shared" si="10"/>
        <v>0</v>
      </c>
    </row>
    <row r="86" spans="1:25" ht="15.95" customHeight="1" x14ac:dyDescent="0.25">
      <c r="A86" s="41">
        <v>223</v>
      </c>
      <c r="B86" s="100" t="s">
        <v>192</v>
      </c>
      <c r="C86" s="28">
        <v>2000</v>
      </c>
      <c r="D86" s="28"/>
      <c r="E86" s="28"/>
      <c r="F86" s="44"/>
      <c r="G86" s="44"/>
      <c r="H86" s="28">
        <v>10000</v>
      </c>
      <c r="I86" s="28"/>
      <c r="J86" s="44"/>
      <c r="K86" s="44"/>
      <c r="L86" s="44"/>
      <c r="M86" s="44"/>
      <c r="N86" s="44"/>
      <c r="O86" s="44"/>
      <c r="P86" s="44"/>
      <c r="Q86" s="44"/>
      <c r="R86" s="28">
        <f t="shared" si="5"/>
        <v>12000</v>
      </c>
      <c r="S86" s="28">
        <f>+'[1]EGR DICIEMBRE 2024'!$Q$55</f>
        <v>165</v>
      </c>
      <c r="T86" s="28">
        <f t="shared" si="6"/>
        <v>11835</v>
      </c>
      <c r="U86" s="88">
        <f t="shared" si="10"/>
        <v>2.1032754317859546E-5</v>
      </c>
    </row>
    <row r="87" spans="1:25" ht="15.95" hidden="1" customHeight="1" x14ac:dyDescent="0.25">
      <c r="A87" s="41">
        <v>229</v>
      </c>
      <c r="B87" s="100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44"/>
      <c r="M87" s="44"/>
      <c r="N87" s="44"/>
      <c r="O87" s="44"/>
      <c r="P87" s="44"/>
      <c r="Q87" s="44"/>
      <c r="R87" s="28">
        <f t="shared" si="5"/>
        <v>0</v>
      </c>
      <c r="S87" s="28"/>
      <c r="T87" s="28">
        <f t="shared" si="6"/>
        <v>0</v>
      </c>
      <c r="U87" s="88">
        <f t="shared" si="10"/>
        <v>0</v>
      </c>
    </row>
    <row r="88" spans="1:25" ht="15.95" customHeight="1" x14ac:dyDescent="0.25">
      <c r="A88" s="41" t="s">
        <v>122</v>
      </c>
      <c r="B88" s="100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44"/>
      <c r="M88" s="44"/>
      <c r="N88" s="44"/>
      <c r="O88" s="44"/>
      <c r="P88" s="44"/>
      <c r="Q88" s="44"/>
      <c r="R88" s="28">
        <f t="shared" si="5"/>
        <v>5000</v>
      </c>
      <c r="S88" s="28">
        <f>+'[1]EGR DICIEMBRE 2024'!$Q$57</f>
        <v>1494.49</v>
      </c>
      <c r="T88" s="28">
        <f t="shared" si="6"/>
        <v>3505.51</v>
      </c>
      <c r="U88" s="88">
        <f t="shared" si="10"/>
        <v>1.9050449091210858E-4</v>
      </c>
    </row>
    <row r="89" spans="1:25" ht="15.95" customHeight="1" x14ac:dyDescent="0.25">
      <c r="A89" s="41" t="s">
        <v>123</v>
      </c>
      <c r="B89" s="100" t="s">
        <v>63</v>
      </c>
      <c r="C89" s="28">
        <v>33800</v>
      </c>
      <c r="D89" s="28"/>
      <c r="E89" s="28"/>
      <c r="F89" s="44"/>
      <c r="G89" s="44"/>
      <c r="H89" s="28">
        <v>20017.62</v>
      </c>
      <c r="I89" s="28"/>
      <c r="J89" s="44">
        <v>15000</v>
      </c>
      <c r="K89" s="44"/>
      <c r="L89" s="44"/>
      <c r="M89" s="44"/>
      <c r="N89" s="44"/>
      <c r="O89" s="44"/>
      <c r="P89" s="44"/>
      <c r="Q89" s="44"/>
      <c r="R89" s="28">
        <f t="shared" si="5"/>
        <v>68817.62</v>
      </c>
      <c r="S89" s="28">
        <f>+'[1]EGR DICIEMBRE 2024'!$Q$58</f>
        <v>44145.8</v>
      </c>
      <c r="T89" s="28">
        <f t="shared" si="6"/>
        <v>24671.819999999992</v>
      </c>
      <c r="U89" s="88">
        <f t="shared" si="10"/>
        <v>5.6273197913052362E-3</v>
      </c>
    </row>
    <row r="90" spans="1:25" ht="15.95" customHeight="1" x14ac:dyDescent="0.25">
      <c r="A90" s="41" t="s">
        <v>124</v>
      </c>
      <c r="B90" s="100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44"/>
      <c r="M90" s="44"/>
      <c r="N90" s="44"/>
      <c r="O90" s="44"/>
      <c r="P90" s="44"/>
      <c r="Q90" s="44"/>
      <c r="R90" s="28">
        <f t="shared" si="5"/>
        <v>5250</v>
      </c>
      <c r="S90" s="28">
        <f>+'[1]EGR DICIEMBRE 2024'!$Q$59</f>
        <v>3981.4</v>
      </c>
      <c r="T90" s="28">
        <f t="shared" si="6"/>
        <v>1268.5999999999999</v>
      </c>
      <c r="U90" s="88">
        <f t="shared" si="10"/>
        <v>5.0751398812803634E-4</v>
      </c>
    </row>
    <row r="91" spans="1:25" ht="15.95" customHeight="1" x14ac:dyDescent="0.25">
      <c r="A91" s="41" t="s">
        <v>125</v>
      </c>
      <c r="B91" s="100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44"/>
      <c r="M91" s="44"/>
      <c r="N91" s="44"/>
      <c r="O91" s="44"/>
      <c r="P91" s="44"/>
      <c r="Q91" s="44"/>
      <c r="R91" s="28">
        <f t="shared" si="5"/>
        <v>10500</v>
      </c>
      <c r="S91" s="28">
        <f>+'[1]EGR DICIEMBRE 2024'!$Q$60</f>
        <v>7929.1100000000015</v>
      </c>
      <c r="T91" s="28">
        <f t="shared" si="6"/>
        <v>2570.8899999999985</v>
      </c>
      <c r="U91" s="88">
        <f t="shared" si="10"/>
        <v>1.0107334702380809E-3</v>
      </c>
    </row>
    <row r="92" spans="1:25" ht="15.95" customHeight="1" x14ac:dyDescent="0.25">
      <c r="A92" s="41" t="s">
        <v>126</v>
      </c>
      <c r="B92" s="100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44"/>
      <c r="M92" s="44"/>
      <c r="N92" s="44"/>
      <c r="O92" s="44"/>
      <c r="P92" s="44"/>
      <c r="Q92" s="44"/>
      <c r="R92" s="28">
        <f t="shared" si="5"/>
        <v>3050</v>
      </c>
      <c r="S92" s="28">
        <f>+'[1]EGR DICIEMBRE 2024'!$Q$61</f>
        <v>1943.1499999999999</v>
      </c>
      <c r="T92" s="28">
        <f t="shared" si="6"/>
        <v>1106.8500000000001</v>
      </c>
      <c r="U92" s="88">
        <f t="shared" si="10"/>
        <v>2.4769573668332592E-4</v>
      </c>
    </row>
    <row r="93" spans="1:25" ht="15.95" customHeight="1" x14ac:dyDescent="0.25">
      <c r="A93" s="41" t="s">
        <v>127</v>
      </c>
      <c r="B93" s="100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44"/>
      <c r="M93" s="44"/>
      <c r="N93" s="44"/>
      <c r="O93" s="44"/>
      <c r="P93" s="44"/>
      <c r="Q93" s="44"/>
      <c r="R93" s="28">
        <f t="shared" si="5"/>
        <v>875</v>
      </c>
      <c r="S93" s="28"/>
      <c r="T93" s="28">
        <f t="shared" si="6"/>
        <v>875</v>
      </c>
      <c r="U93" s="88">
        <f t="shared" si="10"/>
        <v>0</v>
      </c>
    </row>
    <row r="94" spans="1:25" ht="15.95" customHeight="1" x14ac:dyDescent="0.25">
      <c r="A94" s="41" t="s">
        <v>128</v>
      </c>
      <c r="B94" s="100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44"/>
      <c r="M94" s="44"/>
      <c r="N94" s="44"/>
      <c r="O94" s="44"/>
      <c r="P94" s="44"/>
      <c r="Q94" s="44"/>
      <c r="R94" s="28">
        <f t="shared" si="5"/>
        <v>5500</v>
      </c>
      <c r="S94" s="28"/>
      <c r="T94" s="28">
        <f t="shared" si="6"/>
        <v>5500</v>
      </c>
      <c r="U94" s="88">
        <f t="shared" si="10"/>
        <v>0</v>
      </c>
    </row>
    <row r="95" spans="1:25" ht="15.95" customHeight="1" x14ac:dyDescent="0.25">
      <c r="A95" s="41" t="s">
        <v>129</v>
      </c>
      <c r="B95" s="100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44"/>
      <c r="M95" s="44"/>
      <c r="N95" s="44"/>
      <c r="O95" s="44"/>
      <c r="P95" s="44"/>
      <c r="Q95" s="44"/>
      <c r="R95" s="28">
        <f t="shared" ref="R95:R143" si="11">C95+D95-E95+F95-G95+H95-I95+J95-K95+L95-M95+N95-O95+P95-Q95</f>
        <v>2700</v>
      </c>
      <c r="S95" s="28">
        <f>+'[1]EGR DICIEMBRE 2024'!$Q$64</f>
        <v>2697.65</v>
      </c>
      <c r="T95" s="28">
        <f t="shared" si="6"/>
        <v>2.3499999999999091</v>
      </c>
      <c r="U95" s="88">
        <f t="shared" si="10"/>
        <v>3.4387278597317457E-4</v>
      </c>
    </row>
    <row r="96" spans="1:25" ht="15.95" customHeight="1" x14ac:dyDescent="0.25">
      <c r="A96" s="41" t="s">
        <v>196</v>
      </c>
      <c r="B96" s="100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44"/>
      <c r="M96" s="44"/>
      <c r="N96" s="44"/>
      <c r="O96" s="44"/>
      <c r="P96" s="44"/>
      <c r="Q96" s="44"/>
      <c r="R96" s="28">
        <f t="shared" si="11"/>
        <v>2800</v>
      </c>
      <c r="S96" s="28">
        <f>+'[1]EGR DICIEMBRE 2024'!$Q$65</f>
        <v>761</v>
      </c>
      <c r="T96" s="28">
        <f t="shared" si="6"/>
        <v>2039</v>
      </c>
      <c r="U96" s="88">
        <f t="shared" si="10"/>
        <v>9.7005612338734023E-5</v>
      </c>
    </row>
    <row r="97" spans="1:24" ht="15.95" customHeight="1" x14ac:dyDescent="0.25">
      <c r="A97" s="41" t="s">
        <v>130</v>
      </c>
      <c r="B97" s="100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44"/>
      <c r="M97" s="44"/>
      <c r="N97" s="44"/>
      <c r="O97" s="44"/>
      <c r="P97" s="44"/>
      <c r="Q97" s="44"/>
      <c r="R97" s="28">
        <f t="shared" si="11"/>
        <v>8500</v>
      </c>
      <c r="S97" s="28">
        <f>+'[1]EGR DICIEMBRE 2024'!$Q$66</f>
        <v>8062.37</v>
      </c>
      <c r="T97" s="28">
        <f t="shared" si="6"/>
        <v>437.63000000000011</v>
      </c>
      <c r="U97" s="88">
        <f t="shared" si="10"/>
        <v>1.0277202874526138E-3</v>
      </c>
    </row>
    <row r="98" spans="1:24" ht="15.95" customHeight="1" x14ac:dyDescent="0.25">
      <c r="A98" s="41" t="s">
        <v>131</v>
      </c>
      <c r="B98" s="100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44"/>
      <c r="M98" s="44"/>
      <c r="N98" s="44"/>
      <c r="O98" s="44"/>
      <c r="P98" s="44"/>
      <c r="Q98" s="44"/>
      <c r="R98" s="28">
        <f t="shared" si="11"/>
        <v>6000</v>
      </c>
      <c r="S98" s="28">
        <f>+'[1]EGR DICIEMBRE 2024'!$Q$67</f>
        <v>777.5</v>
      </c>
      <c r="T98" s="28">
        <f t="shared" si="6"/>
        <v>5222.5</v>
      </c>
      <c r="U98" s="88">
        <f t="shared" si="10"/>
        <v>9.910888777051998E-5</v>
      </c>
    </row>
    <row r="99" spans="1:24" ht="15.95" customHeight="1" x14ac:dyDescent="0.25">
      <c r="A99" s="41" t="s">
        <v>132</v>
      </c>
      <c r="B99" s="100" t="s">
        <v>69</v>
      </c>
      <c r="C99" s="28">
        <v>17500</v>
      </c>
      <c r="D99" s="28"/>
      <c r="E99" s="28"/>
      <c r="F99" s="44"/>
      <c r="G99" s="44"/>
      <c r="H99" s="28"/>
      <c r="I99" s="28"/>
      <c r="J99" s="44">
        <v>50000</v>
      </c>
      <c r="K99" s="44"/>
      <c r="L99" s="44"/>
      <c r="M99" s="44"/>
      <c r="N99" s="44"/>
      <c r="O99" s="44"/>
      <c r="P99" s="44"/>
      <c r="Q99" s="44"/>
      <c r="R99" s="28">
        <f t="shared" si="11"/>
        <v>67500</v>
      </c>
      <c r="S99" s="28">
        <f>+'[1]EGR DICIEMBRE 2024'!$Q$68</f>
        <v>13103.85</v>
      </c>
      <c r="T99" s="28">
        <f t="shared" si="6"/>
        <v>54396.15</v>
      </c>
      <c r="U99" s="88">
        <f t="shared" si="10"/>
        <v>1.6703639858671746E-3</v>
      </c>
    </row>
    <row r="100" spans="1:24" ht="15.95" customHeight="1" x14ac:dyDescent="0.25">
      <c r="A100" s="41" t="s">
        <v>133</v>
      </c>
      <c r="B100" s="100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44">
        <v>5000</v>
      </c>
      <c r="M100" s="44"/>
      <c r="N100" s="44"/>
      <c r="O100" s="44"/>
      <c r="P100" s="44"/>
      <c r="Q100" s="44"/>
      <c r="R100" s="28">
        <f t="shared" si="11"/>
        <v>8000</v>
      </c>
      <c r="S100" s="28">
        <f>+'[1]EGR DICIEMBRE 2024'!$Q$69</f>
        <v>5732.56</v>
      </c>
      <c r="T100" s="28">
        <f t="shared" si="6"/>
        <v>2267.4399999999996</v>
      </c>
      <c r="U100" s="88">
        <f t="shared" si="10"/>
        <v>7.3073652177205412E-4</v>
      </c>
    </row>
    <row r="101" spans="1:24" ht="15.95" customHeight="1" x14ac:dyDescent="0.25">
      <c r="A101" s="41" t="s">
        <v>134</v>
      </c>
      <c r="B101" s="100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44"/>
      <c r="M101" s="44"/>
      <c r="N101" s="44"/>
      <c r="O101" s="44"/>
      <c r="P101" s="44"/>
      <c r="Q101" s="44"/>
      <c r="R101" s="28">
        <f t="shared" si="11"/>
        <v>1500</v>
      </c>
      <c r="S101" s="28">
        <f>+'[1]EGR DICIEMBRE 2024'!$Q$70</f>
        <v>588</v>
      </c>
      <c r="T101" s="28">
        <f t="shared" ref="T101:T139" si="12">R101-S101</f>
        <v>912</v>
      </c>
      <c r="U101" s="88">
        <f t="shared" si="10"/>
        <v>7.4953088114554023E-5</v>
      </c>
    </row>
    <row r="102" spans="1:24" ht="15.95" customHeight="1" x14ac:dyDescent="0.25">
      <c r="A102" s="41" t="s">
        <v>135</v>
      </c>
      <c r="B102" s="100" t="s">
        <v>70</v>
      </c>
      <c r="C102" s="28">
        <v>181653.08</v>
      </c>
      <c r="D102" s="28"/>
      <c r="E102" s="28"/>
      <c r="F102" s="44"/>
      <c r="G102" s="44"/>
      <c r="H102" s="28">
        <v>100000</v>
      </c>
      <c r="I102" s="28"/>
      <c r="J102" s="44"/>
      <c r="K102" s="44">
        <v>122000</v>
      </c>
      <c r="L102" s="44"/>
      <c r="M102" s="44"/>
      <c r="N102" s="44"/>
      <c r="O102" s="44"/>
      <c r="P102" s="44"/>
      <c r="Q102" s="44"/>
      <c r="R102" s="28">
        <f t="shared" si="11"/>
        <v>159653.07999999996</v>
      </c>
      <c r="S102" s="28"/>
      <c r="T102" s="28">
        <f t="shared" si="12"/>
        <v>159653.07999999996</v>
      </c>
      <c r="U102" s="88">
        <f t="shared" si="10"/>
        <v>0</v>
      </c>
      <c r="V102" s="122">
        <v>300000</v>
      </c>
      <c r="W102" s="125">
        <f>+V102-T102</f>
        <v>140346.92000000004</v>
      </c>
      <c r="X102" s="126">
        <v>2025</v>
      </c>
    </row>
    <row r="103" spans="1:24" ht="15.95" hidden="1" customHeight="1" x14ac:dyDescent="0.25">
      <c r="A103" s="41">
        <v>272</v>
      </c>
      <c r="B103" s="100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44"/>
      <c r="M103" s="44"/>
      <c r="N103" s="44"/>
      <c r="O103" s="44"/>
      <c r="P103" s="44"/>
      <c r="Q103" s="44"/>
      <c r="R103" s="28">
        <f t="shared" si="11"/>
        <v>0</v>
      </c>
      <c r="S103" s="28"/>
      <c r="T103" s="28">
        <f t="shared" si="12"/>
        <v>0</v>
      </c>
      <c r="U103" s="88">
        <f t="shared" si="10"/>
        <v>0</v>
      </c>
    </row>
    <row r="104" spans="1:24" ht="15.95" hidden="1" customHeight="1" x14ac:dyDescent="0.25">
      <c r="A104" s="41" t="s">
        <v>136</v>
      </c>
      <c r="B104" s="100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44"/>
      <c r="M104" s="44"/>
      <c r="N104" s="44"/>
      <c r="O104" s="44"/>
      <c r="P104" s="44"/>
      <c r="Q104" s="44"/>
      <c r="R104" s="28">
        <f t="shared" si="11"/>
        <v>0</v>
      </c>
      <c r="S104" s="28"/>
      <c r="T104" s="28">
        <f t="shared" si="12"/>
        <v>0</v>
      </c>
      <c r="U104" s="88">
        <f t="shared" si="10"/>
        <v>0</v>
      </c>
    </row>
    <row r="105" spans="1:24" ht="15.95" customHeight="1" x14ac:dyDescent="0.25">
      <c r="A105" s="41">
        <v>274</v>
      </c>
      <c r="B105" s="100" t="s">
        <v>71</v>
      </c>
      <c r="C105" s="28">
        <v>1500</v>
      </c>
      <c r="D105" s="28"/>
      <c r="E105" s="28"/>
      <c r="F105" s="44"/>
      <c r="G105" s="44"/>
      <c r="H105" s="28">
        <v>10000</v>
      </c>
      <c r="I105" s="28"/>
      <c r="J105" s="44"/>
      <c r="K105" s="44"/>
      <c r="L105" s="44"/>
      <c r="M105" s="44"/>
      <c r="N105" s="44"/>
      <c r="O105" s="44"/>
      <c r="P105" s="44"/>
      <c r="Q105" s="44"/>
      <c r="R105" s="28">
        <f t="shared" si="11"/>
        <v>11500</v>
      </c>
      <c r="S105" s="28">
        <f>+'[1]EGR DICIEMBRE 2024'!$Q$74</f>
        <v>486</v>
      </c>
      <c r="T105" s="28">
        <f t="shared" si="12"/>
        <v>11014</v>
      </c>
      <c r="U105" s="88">
        <f t="shared" si="10"/>
        <v>6.1951021808968114E-5</v>
      </c>
    </row>
    <row r="106" spans="1:24" ht="15.95" hidden="1" customHeight="1" x14ac:dyDescent="0.25">
      <c r="A106" s="41">
        <v>275</v>
      </c>
      <c r="B106" s="100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44"/>
      <c r="M106" s="44"/>
      <c r="N106" s="44"/>
      <c r="O106" s="44"/>
      <c r="P106" s="44"/>
      <c r="Q106" s="44"/>
      <c r="R106" s="28">
        <f t="shared" si="11"/>
        <v>0</v>
      </c>
      <c r="S106" s="28"/>
      <c r="T106" s="28">
        <f t="shared" si="12"/>
        <v>0</v>
      </c>
      <c r="U106" s="88">
        <f t="shared" si="10"/>
        <v>0</v>
      </c>
    </row>
    <row r="107" spans="1:24" ht="15.95" customHeight="1" x14ac:dyDescent="0.25">
      <c r="A107" s="41">
        <v>279</v>
      </c>
      <c r="B107" s="100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44"/>
      <c r="M107" s="44"/>
      <c r="N107" s="44"/>
      <c r="O107" s="44"/>
      <c r="P107" s="44"/>
      <c r="Q107" s="44"/>
      <c r="R107" s="28">
        <f t="shared" si="11"/>
        <v>750</v>
      </c>
      <c r="S107" s="28"/>
      <c r="T107" s="28">
        <f t="shared" si="12"/>
        <v>750</v>
      </c>
      <c r="U107" s="88">
        <f t="shared" si="10"/>
        <v>0</v>
      </c>
    </row>
    <row r="108" spans="1:24" ht="15.95" hidden="1" customHeight="1" x14ac:dyDescent="0.25">
      <c r="A108" s="41">
        <v>281</v>
      </c>
      <c r="B108" s="100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44"/>
      <c r="M108" s="44"/>
      <c r="N108" s="44"/>
      <c r="O108" s="44"/>
      <c r="P108" s="44"/>
      <c r="Q108" s="44"/>
      <c r="R108" s="28">
        <f t="shared" si="11"/>
        <v>0</v>
      </c>
      <c r="S108" s="28"/>
      <c r="T108" s="28">
        <f t="shared" si="12"/>
        <v>0</v>
      </c>
      <c r="U108" s="88">
        <f t="shared" si="10"/>
        <v>0</v>
      </c>
    </row>
    <row r="109" spans="1:24" ht="15.95" customHeight="1" x14ac:dyDescent="0.25">
      <c r="A109" s="41" t="s">
        <v>137</v>
      </c>
      <c r="B109" s="100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44"/>
      <c r="M109" s="44"/>
      <c r="N109" s="44"/>
      <c r="O109" s="44"/>
      <c r="P109" s="44"/>
      <c r="Q109" s="44"/>
      <c r="R109" s="28">
        <f t="shared" si="11"/>
        <v>4800</v>
      </c>
      <c r="S109" s="28">
        <f>+'[1]EGR DICIEMBRE 2024'!$Q$78</f>
        <v>278.55</v>
      </c>
      <c r="T109" s="28">
        <f t="shared" si="12"/>
        <v>4521.45</v>
      </c>
      <c r="U109" s="88">
        <f t="shared" si="10"/>
        <v>3.5507113425695618E-5</v>
      </c>
    </row>
    <row r="110" spans="1:24" ht="15.95" customHeight="1" x14ac:dyDescent="0.25">
      <c r="A110" s="41" t="s">
        <v>138</v>
      </c>
      <c r="B110" s="100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44"/>
      <c r="M110" s="44"/>
      <c r="N110" s="44"/>
      <c r="O110" s="44"/>
      <c r="P110" s="44"/>
      <c r="Q110" s="44"/>
      <c r="R110" s="28">
        <f t="shared" si="11"/>
        <v>28800</v>
      </c>
      <c r="S110" s="28">
        <f>+'[1]EGR DICIEMBRE 2024'!$Q$79</f>
        <v>1923.54</v>
      </c>
      <c r="T110" s="28">
        <f t="shared" si="12"/>
        <v>26876.46</v>
      </c>
      <c r="U110" s="88">
        <f t="shared" si="10"/>
        <v>2.4519602570045786E-4</v>
      </c>
    </row>
    <row r="111" spans="1:24" ht="15.95" customHeight="1" x14ac:dyDescent="0.25">
      <c r="A111" s="41" t="s">
        <v>139</v>
      </c>
      <c r="B111" s="100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44"/>
      <c r="M111" s="44"/>
      <c r="N111" s="44"/>
      <c r="O111" s="44"/>
      <c r="P111" s="44"/>
      <c r="Q111" s="44"/>
      <c r="R111" s="28">
        <f t="shared" si="11"/>
        <v>1300000</v>
      </c>
      <c r="S111" s="28">
        <f>+'[1]EGR DICIEMBRE 2024'!$Q$80</f>
        <v>1088331</v>
      </c>
      <c r="T111" s="28">
        <f t="shared" si="12"/>
        <v>211669</v>
      </c>
      <c r="U111" s="88">
        <f t="shared" si="10"/>
        <v>0.13873090023945694</v>
      </c>
    </row>
    <row r="112" spans="1:24" ht="15.95" customHeight="1" x14ac:dyDescent="0.25">
      <c r="A112" s="41">
        <v>286</v>
      </c>
      <c r="B112" s="100" t="s">
        <v>207</v>
      </c>
      <c r="C112" s="28">
        <v>1500</v>
      </c>
      <c r="D112" s="28"/>
      <c r="E112" s="28"/>
      <c r="F112" s="44"/>
      <c r="G112" s="44"/>
      <c r="H112" s="28">
        <v>3000</v>
      </c>
      <c r="I112" s="28"/>
      <c r="J112" s="44"/>
      <c r="K112" s="44"/>
      <c r="L112" s="44"/>
      <c r="M112" s="44"/>
      <c r="N112" s="44"/>
      <c r="O112" s="44"/>
      <c r="P112" s="44"/>
      <c r="Q112" s="44"/>
      <c r="R112" s="28">
        <f t="shared" si="11"/>
        <v>4500</v>
      </c>
      <c r="S112" s="28">
        <f>+'[1]EGR DICIEMBRE 2024'!$Q$81</f>
        <v>216</v>
      </c>
      <c r="T112" s="28">
        <f t="shared" si="12"/>
        <v>4284</v>
      </c>
      <c r="U112" s="88">
        <f t="shared" si="10"/>
        <v>2.7533787470652497E-5</v>
      </c>
    </row>
    <row r="113" spans="1:21" ht="15.95" hidden="1" customHeight="1" x14ac:dyDescent="0.25">
      <c r="A113" s="41">
        <v>289</v>
      </c>
      <c r="B113" s="100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44"/>
      <c r="M113" s="44"/>
      <c r="N113" s="44"/>
      <c r="O113" s="44"/>
      <c r="P113" s="44"/>
      <c r="Q113" s="44"/>
      <c r="R113" s="28">
        <f t="shared" si="11"/>
        <v>0</v>
      </c>
      <c r="S113" s="28"/>
      <c r="T113" s="28">
        <f t="shared" si="12"/>
        <v>0</v>
      </c>
      <c r="U113" s="88">
        <f t="shared" si="10"/>
        <v>0</v>
      </c>
    </row>
    <row r="114" spans="1:21" ht="15.95" customHeight="1" x14ac:dyDescent="0.25">
      <c r="A114" s="41" t="s">
        <v>140</v>
      </c>
      <c r="B114" s="100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44"/>
      <c r="M114" s="44"/>
      <c r="N114" s="44"/>
      <c r="O114" s="44"/>
      <c r="P114" s="44"/>
      <c r="Q114" s="44"/>
      <c r="R114" s="28">
        <f t="shared" si="11"/>
        <v>6600</v>
      </c>
      <c r="S114" s="28">
        <f>+'[1]EGR DICIEMBRE 2024'!$Q$83</f>
        <v>4359.67</v>
      </c>
      <c r="T114" s="28">
        <f t="shared" si="12"/>
        <v>2240.33</v>
      </c>
      <c r="U114" s="88">
        <f t="shared" si="10"/>
        <v>5.5573253343601658E-4</v>
      </c>
    </row>
    <row r="115" spans="1:21" ht="33" customHeight="1" x14ac:dyDescent="0.25">
      <c r="A115" s="41" t="s">
        <v>141</v>
      </c>
      <c r="B115" s="100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44"/>
      <c r="M115" s="44"/>
      <c r="N115" s="44"/>
      <c r="O115" s="44"/>
      <c r="P115" s="44"/>
      <c r="Q115" s="44"/>
      <c r="R115" s="28">
        <f t="shared" si="11"/>
        <v>4000</v>
      </c>
      <c r="S115" s="28">
        <f>+'[1]EGR DICIEMBRE 2024'!$Q$84</f>
        <v>2336.2900000000004</v>
      </c>
      <c r="T115" s="28">
        <f t="shared" si="12"/>
        <v>1663.7099999999996</v>
      </c>
      <c r="U115" s="88">
        <f t="shared" si="10"/>
        <v>2.9780977930467934E-4</v>
      </c>
    </row>
    <row r="116" spans="1:21" ht="15.95" customHeight="1" x14ac:dyDescent="0.25">
      <c r="A116" s="41" t="s">
        <v>142</v>
      </c>
      <c r="B116" s="100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44"/>
      <c r="M116" s="44"/>
      <c r="N116" s="44"/>
      <c r="O116" s="44"/>
      <c r="P116" s="44"/>
      <c r="Q116" s="44"/>
      <c r="R116" s="28">
        <f t="shared" si="11"/>
        <v>25251.9</v>
      </c>
      <c r="S116" s="28">
        <f>+'[1]EGR DICIEMBRE 2024'!$Q$85</f>
        <v>66775.070000000007</v>
      </c>
      <c r="T116" s="28">
        <f t="shared" si="12"/>
        <v>-41523.170000000006</v>
      </c>
      <c r="U116" s="88">
        <f t="shared" si="10"/>
        <v>8.511900859805294E-3</v>
      </c>
    </row>
    <row r="117" spans="1:21" ht="15.95" customHeight="1" x14ac:dyDescent="0.25">
      <c r="A117" s="41" t="s">
        <v>143</v>
      </c>
      <c r="B117" s="100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44"/>
      <c r="M117" s="44"/>
      <c r="N117" s="44"/>
      <c r="O117" s="44"/>
      <c r="P117" s="44"/>
      <c r="Q117" s="44"/>
      <c r="R117" s="28">
        <f t="shared" si="11"/>
        <v>2000</v>
      </c>
      <c r="S117" s="28"/>
      <c r="T117" s="28">
        <f t="shared" si="12"/>
        <v>2000</v>
      </c>
      <c r="U117" s="88">
        <f t="shared" si="10"/>
        <v>0</v>
      </c>
    </row>
    <row r="118" spans="1:21" ht="51" customHeight="1" x14ac:dyDescent="0.25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>
        <v>20500</v>
      </c>
      <c r="I118" s="28"/>
      <c r="J118" s="44"/>
      <c r="K118" s="44"/>
      <c r="L118" s="44"/>
      <c r="M118" s="44"/>
      <c r="N118" s="44"/>
      <c r="O118" s="44"/>
      <c r="P118" s="44"/>
      <c r="Q118" s="44"/>
      <c r="R118" s="28">
        <f t="shared" si="11"/>
        <v>30000</v>
      </c>
      <c r="S118" s="28">
        <f>+'[1]EGR DICIEMBRE 2024'!$Q$87</f>
        <v>1213.8499999999999</v>
      </c>
      <c r="T118" s="28">
        <f t="shared" si="12"/>
        <v>28786.15</v>
      </c>
      <c r="U118" s="88">
        <f t="shared" si="10"/>
        <v>1.5473096259838672E-4</v>
      </c>
    </row>
    <row r="119" spans="1:21" ht="15.95" customHeight="1" x14ac:dyDescent="0.25">
      <c r="A119" s="41" t="s">
        <v>145</v>
      </c>
      <c r="B119" s="100" t="s">
        <v>77</v>
      </c>
      <c r="C119" s="28">
        <v>76000</v>
      </c>
      <c r="D119" s="28"/>
      <c r="E119" s="28"/>
      <c r="F119" s="44"/>
      <c r="G119" s="44"/>
      <c r="H119" s="28">
        <v>75000</v>
      </c>
      <c r="I119" s="28"/>
      <c r="J119" s="44">
        <v>49000</v>
      </c>
      <c r="K119" s="44"/>
      <c r="L119" s="44"/>
      <c r="M119" s="44"/>
      <c r="N119" s="44">
        <f>+N19</f>
        <v>276759.92</v>
      </c>
      <c r="O119" s="44"/>
      <c r="P119" s="44"/>
      <c r="Q119" s="44"/>
      <c r="R119" s="28">
        <f t="shared" si="11"/>
        <v>476759.92</v>
      </c>
      <c r="S119" s="28">
        <f>+'[1]EGR DICIEMBRE 2024'!$Q$88</f>
        <v>134826.4</v>
      </c>
      <c r="T119" s="28">
        <f t="shared" si="12"/>
        <v>341933.52</v>
      </c>
      <c r="U119" s="88">
        <f t="shared" si="10"/>
        <v>1.7186488162190657E-2</v>
      </c>
    </row>
    <row r="120" spans="1:21" ht="15.95" customHeight="1" x14ac:dyDescent="0.25">
      <c r="A120" s="41" t="s">
        <v>146</v>
      </c>
      <c r="B120" s="100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44"/>
      <c r="M120" s="44"/>
      <c r="N120" s="44"/>
      <c r="O120" s="44"/>
      <c r="P120" s="44"/>
      <c r="Q120" s="44"/>
      <c r="R120" s="28">
        <f t="shared" si="11"/>
        <v>9500</v>
      </c>
      <c r="S120" s="28">
        <f>+'[1]EGR DICIEMBRE 2024'!$Q$89</f>
        <v>9479.43</v>
      </c>
      <c r="T120" s="28">
        <f t="shared" si="12"/>
        <v>20.569999999999709</v>
      </c>
      <c r="U120" s="88">
        <f t="shared" si="10"/>
        <v>1.2083546803839233E-3</v>
      </c>
    </row>
    <row r="121" spans="1:21" ht="15.95" customHeight="1" x14ac:dyDescent="0.25">
      <c r="A121" s="41"/>
      <c r="B121" s="100"/>
      <c r="C121" s="28"/>
      <c r="D121" s="28"/>
      <c r="E121" s="28"/>
      <c r="F121" s="44"/>
      <c r="G121" s="44"/>
      <c r="H121" s="28"/>
      <c r="I121" s="28"/>
      <c r="J121" s="44"/>
      <c r="K121" s="44"/>
      <c r="L121" s="44"/>
      <c r="M121" s="44"/>
      <c r="N121" s="44"/>
      <c r="O121" s="44"/>
      <c r="P121" s="44"/>
      <c r="Q121" s="44"/>
      <c r="R121" s="28">
        <f t="shared" si="11"/>
        <v>0</v>
      </c>
      <c r="S121" s="28"/>
      <c r="T121" s="28"/>
      <c r="U121" s="88"/>
    </row>
    <row r="122" spans="1:21" ht="15.95" customHeight="1" x14ac:dyDescent="0.25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44"/>
      <c r="M122" s="44"/>
      <c r="N122" s="44"/>
      <c r="O122" s="44"/>
      <c r="P122" s="44"/>
      <c r="Q122" s="44"/>
      <c r="R122" s="28">
        <f t="shared" si="11"/>
        <v>0</v>
      </c>
      <c r="S122" s="28"/>
      <c r="T122" s="28"/>
      <c r="U122" s="88"/>
    </row>
    <row r="123" spans="1:21" ht="15.95" customHeight="1" x14ac:dyDescent="0.25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44"/>
      <c r="M123" s="44"/>
      <c r="N123" s="44"/>
      <c r="O123" s="44"/>
      <c r="P123" s="44"/>
      <c r="Q123" s="44"/>
      <c r="R123" s="28">
        <f t="shared" si="11"/>
        <v>0</v>
      </c>
      <c r="S123" s="28"/>
      <c r="T123" s="28"/>
      <c r="U123" s="88"/>
    </row>
    <row r="124" spans="1:21" ht="15.95" customHeight="1" x14ac:dyDescent="0.25">
      <c r="A124" s="39">
        <v>3</v>
      </c>
      <c r="B124" s="108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44"/>
      <c r="M124" s="44"/>
      <c r="N124" s="44"/>
      <c r="O124" s="44"/>
      <c r="P124" s="44"/>
      <c r="Q124" s="44"/>
      <c r="R124" s="28">
        <f t="shared" si="11"/>
        <v>0</v>
      </c>
      <c r="S124" s="28"/>
      <c r="T124" s="28"/>
      <c r="U124" s="88"/>
    </row>
    <row r="125" spans="1:21" ht="15.95" customHeight="1" x14ac:dyDescent="0.25">
      <c r="A125" s="42" t="s">
        <v>211</v>
      </c>
      <c r="B125" s="109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44"/>
      <c r="M125" s="44"/>
      <c r="N125" s="44"/>
      <c r="O125" s="44"/>
      <c r="P125" s="44"/>
      <c r="Q125" s="44"/>
      <c r="R125" s="28">
        <f t="shared" si="11"/>
        <v>10000</v>
      </c>
      <c r="S125" s="28"/>
      <c r="T125" s="28">
        <f t="shared" si="12"/>
        <v>10000</v>
      </c>
      <c r="U125" s="88">
        <f>S125/$S$144</f>
        <v>0</v>
      </c>
    </row>
    <row r="126" spans="1:21" ht="33" customHeight="1" x14ac:dyDescent="0.25">
      <c r="A126" s="42" t="s">
        <v>80</v>
      </c>
      <c r="B126" s="109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44"/>
      <c r="M126" s="44"/>
      <c r="N126" s="44"/>
      <c r="O126" s="44"/>
      <c r="P126" s="44"/>
      <c r="Q126" s="44"/>
      <c r="R126" s="28">
        <f t="shared" si="11"/>
        <v>0</v>
      </c>
      <c r="S126" s="28"/>
      <c r="T126" s="28">
        <f t="shared" si="12"/>
        <v>0</v>
      </c>
      <c r="U126" s="88">
        <f>S126/$S$144</f>
        <v>0</v>
      </c>
    </row>
    <row r="127" spans="1:21" ht="15.95" customHeight="1" x14ac:dyDescent="0.25">
      <c r="A127" s="42" t="s">
        <v>214</v>
      </c>
      <c r="B127" s="109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44"/>
      <c r="M127" s="44"/>
      <c r="N127" s="44"/>
      <c r="O127" s="44"/>
      <c r="P127" s="44"/>
      <c r="Q127" s="44"/>
      <c r="R127" s="28">
        <f t="shared" si="11"/>
        <v>304035</v>
      </c>
      <c r="S127" s="28">
        <f>+'[1]EGR DICIEMBRE 2024'!$Q$92</f>
        <v>93000</v>
      </c>
      <c r="T127" s="28">
        <f t="shared" si="12"/>
        <v>211035</v>
      </c>
      <c r="U127" s="88">
        <f>S127/$S$144</f>
        <v>1.185482516097538E-2</v>
      </c>
    </row>
    <row r="128" spans="1:21" ht="15.95" customHeight="1" x14ac:dyDescent="0.25">
      <c r="A128" s="42">
        <v>325</v>
      </c>
      <c r="B128" s="109" t="s">
        <v>268</v>
      </c>
      <c r="C128" s="44"/>
      <c r="D128" s="28"/>
      <c r="E128" s="28"/>
      <c r="F128" s="44"/>
      <c r="G128" s="44"/>
      <c r="H128" s="28">
        <v>25000</v>
      </c>
      <c r="I128" s="28"/>
      <c r="J128" s="44"/>
      <c r="K128" s="44"/>
      <c r="L128" s="44"/>
      <c r="M128" s="44"/>
      <c r="N128" s="44"/>
      <c r="O128" s="44"/>
      <c r="P128" s="44"/>
      <c r="Q128" s="44"/>
      <c r="R128" s="28">
        <f t="shared" si="11"/>
        <v>25000</v>
      </c>
      <c r="S128" s="28">
        <f>+'[1]EGR DICIEMBRE 2024'!$Q$93</f>
        <v>11490</v>
      </c>
      <c r="T128" s="28">
        <f t="shared" si="12"/>
        <v>13510</v>
      </c>
      <c r="U128" s="88">
        <f>S128/$S$144</f>
        <v>1.4646445279527648E-3</v>
      </c>
    </row>
    <row r="129" spans="1:21" ht="15.95" customHeight="1" x14ac:dyDescent="0.25">
      <c r="A129" s="42" t="s">
        <v>216</v>
      </c>
      <c r="B129" s="109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44"/>
      <c r="M129" s="44"/>
      <c r="N129" s="44"/>
      <c r="O129" s="44"/>
      <c r="P129" s="44"/>
      <c r="Q129" s="44"/>
      <c r="R129" s="28">
        <f t="shared" si="11"/>
        <v>1500</v>
      </c>
      <c r="S129" s="28">
        <f>+'[1]EGR DICIEMBRE 2024'!$Q$94</f>
        <v>1060.02</v>
      </c>
      <c r="T129" s="28">
        <f t="shared" si="12"/>
        <v>439.98</v>
      </c>
      <c r="U129" s="88">
        <f>S129/$S$144</f>
        <v>1.3512206201222711E-4</v>
      </c>
    </row>
    <row r="130" spans="1:21" ht="15.95" customHeight="1" x14ac:dyDescent="0.25">
      <c r="A130" s="42">
        <v>328</v>
      </c>
      <c r="B130" s="109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44"/>
      <c r="M130" s="44"/>
      <c r="N130" s="44"/>
      <c r="O130" s="44"/>
      <c r="P130" s="44"/>
      <c r="Q130" s="44"/>
      <c r="R130" s="28">
        <f t="shared" si="11"/>
        <v>40000</v>
      </c>
      <c r="S130" s="28">
        <f>+'[1]EGR DICIEMBRE 2024'!$Q$95</f>
        <v>6945</v>
      </c>
      <c r="T130" s="28">
        <f t="shared" si="12"/>
        <v>33055</v>
      </c>
      <c r="U130" s="88">
        <f>+S130/S144</f>
        <v>8.8528774992445176E-4</v>
      </c>
    </row>
    <row r="131" spans="1:21" ht="15.95" customHeight="1" x14ac:dyDescent="0.25">
      <c r="A131" s="42" t="s">
        <v>218</v>
      </c>
      <c r="B131" s="109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44"/>
      <c r="M131" s="44"/>
      <c r="N131" s="44"/>
      <c r="O131" s="44"/>
      <c r="P131" s="44"/>
      <c r="Q131" s="44"/>
      <c r="R131" s="28">
        <f t="shared" si="11"/>
        <v>14300</v>
      </c>
      <c r="S131" s="28">
        <f>+'[1]EGR DICIEMBRE 2024'!$Q$96</f>
        <v>10447</v>
      </c>
      <c r="T131" s="28">
        <f t="shared" si="12"/>
        <v>3853</v>
      </c>
      <c r="U131" s="88">
        <f>S131/$S$144</f>
        <v>1.3316920264162344E-3</v>
      </c>
    </row>
    <row r="132" spans="1:21" ht="15.95" hidden="1" customHeight="1" x14ac:dyDescent="0.25">
      <c r="A132" s="42" t="s">
        <v>220</v>
      </c>
      <c r="B132" s="109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44"/>
      <c r="M132" s="44"/>
      <c r="N132" s="44"/>
      <c r="O132" s="44"/>
      <c r="P132" s="44"/>
      <c r="Q132" s="44"/>
      <c r="R132" s="28">
        <f t="shared" si="11"/>
        <v>0</v>
      </c>
      <c r="S132" s="28"/>
      <c r="T132" s="28">
        <f t="shared" si="12"/>
        <v>0</v>
      </c>
      <c r="U132" s="88">
        <f>S132/$S$144</f>
        <v>0</v>
      </c>
    </row>
    <row r="133" spans="1:21" ht="15.95" customHeight="1" x14ac:dyDescent="0.25">
      <c r="A133" s="42"/>
      <c r="B133" s="109"/>
      <c r="C133" s="44"/>
      <c r="D133" s="28"/>
      <c r="E133" s="28"/>
      <c r="F133" s="44"/>
      <c r="G133" s="44"/>
      <c r="H133" s="28"/>
      <c r="I133" s="28"/>
      <c r="J133" s="44"/>
      <c r="K133" s="44"/>
      <c r="L133" s="44"/>
      <c r="M133" s="44"/>
      <c r="N133" s="44"/>
      <c r="O133" s="44"/>
      <c r="P133" s="44"/>
      <c r="Q133" s="44"/>
      <c r="R133" s="28">
        <f t="shared" si="11"/>
        <v>0</v>
      </c>
      <c r="S133" s="28"/>
      <c r="T133" s="28"/>
      <c r="U133" s="88"/>
    </row>
    <row r="134" spans="1:21" ht="15.95" customHeight="1" x14ac:dyDescent="0.25">
      <c r="A134" s="41"/>
      <c r="B134" s="100"/>
      <c r="C134" s="28"/>
      <c r="D134" s="28"/>
      <c r="E134" s="28"/>
      <c r="F134" s="44"/>
      <c r="G134" s="44"/>
      <c r="H134" s="28"/>
      <c r="I134" s="28"/>
      <c r="J134" s="44"/>
      <c r="K134" s="44"/>
      <c r="L134" s="44"/>
      <c r="M134" s="44"/>
      <c r="N134" s="44"/>
      <c r="O134" s="44"/>
      <c r="P134" s="44"/>
      <c r="Q134" s="44"/>
      <c r="R134" s="28">
        <f t="shared" si="11"/>
        <v>0</v>
      </c>
      <c r="S134" s="28"/>
      <c r="T134" s="28"/>
      <c r="U134" s="88"/>
    </row>
    <row r="135" spans="1:21" ht="15.95" customHeight="1" x14ac:dyDescent="0.25">
      <c r="A135" s="39">
        <v>4</v>
      </c>
      <c r="B135" s="108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44"/>
      <c r="M135" s="44"/>
      <c r="N135" s="44"/>
      <c r="O135" s="44"/>
      <c r="P135" s="44"/>
      <c r="Q135" s="44"/>
      <c r="R135" s="28">
        <f t="shared" si="11"/>
        <v>0</v>
      </c>
      <c r="S135" s="28"/>
      <c r="T135" s="28"/>
      <c r="U135" s="88"/>
    </row>
    <row r="136" spans="1:21" ht="15.95" customHeight="1" x14ac:dyDescent="0.25">
      <c r="A136" s="41" t="s">
        <v>222</v>
      </c>
      <c r="B136" s="100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44"/>
      <c r="M136" s="44"/>
      <c r="N136" s="44"/>
      <c r="O136" s="44">
        <v>855</v>
      </c>
      <c r="P136" s="44"/>
      <c r="Q136" s="44"/>
      <c r="R136" s="28">
        <f t="shared" si="11"/>
        <v>185045</v>
      </c>
      <c r="S136" s="28">
        <f>+'[1]EGR DICIEMBRE 2024'!$Q$98</f>
        <v>41784.97</v>
      </c>
      <c r="T136" s="28">
        <f t="shared" si="12"/>
        <v>143260.03</v>
      </c>
      <c r="U136" s="88">
        <f>S136/$S$144</f>
        <v>5.3263818678129186E-3</v>
      </c>
    </row>
    <row r="137" spans="1:21" ht="15.95" customHeight="1" x14ac:dyDescent="0.25">
      <c r="A137" s="41" t="s">
        <v>223</v>
      </c>
      <c r="B137" s="100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44"/>
      <c r="M137" s="44"/>
      <c r="N137" s="44">
        <v>855</v>
      </c>
      <c r="O137" s="44"/>
      <c r="P137" s="44"/>
      <c r="Q137" s="44"/>
      <c r="R137" s="28">
        <f t="shared" si="11"/>
        <v>8025</v>
      </c>
      <c r="S137" s="28">
        <f>+'[1]EGR DICIEMBRE 2024'!$Q$99</f>
        <v>8025</v>
      </c>
      <c r="T137" s="28">
        <f t="shared" si="12"/>
        <v>0</v>
      </c>
      <c r="U137" s="88">
        <f>S137/$S$144</f>
        <v>1.0229566872777143E-3</v>
      </c>
    </row>
    <row r="138" spans="1:21" ht="15.95" customHeight="1" x14ac:dyDescent="0.25">
      <c r="A138" s="41" t="s">
        <v>225</v>
      </c>
      <c r="B138" s="100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44"/>
      <c r="M138" s="44"/>
      <c r="N138" s="44"/>
      <c r="O138" s="44">
        <v>30000</v>
      </c>
      <c r="P138" s="44"/>
      <c r="Q138" s="44"/>
      <c r="R138" s="28">
        <f t="shared" si="11"/>
        <v>40000</v>
      </c>
      <c r="S138" s="28">
        <f>+'[1]EGR DICIEMBRE 2024'!$Q$100</f>
        <v>3250</v>
      </c>
      <c r="T138" s="28">
        <f t="shared" si="12"/>
        <v>36750</v>
      </c>
      <c r="U138" s="88">
        <f>S138/$S$144</f>
        <v>4.1428152444268802E-4</v>
      </c>
    </row>
    <row r="139" spans="1:21" ht="33" customHeight="1" x14ac:dyDescent="0.25">
      <c r="A139" s="41">
        <v>453</v>
      </c>
      <c r="B139" s="100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44"/>
      <c r="M139" s="44"/>
      <c r="N139" s="44"/>
      <c r="O139" s="44"/>
      <c r="P139" s="44"/>
      <c r="Q139" s="44"/>
      <c r="R139" s="28">
        <f t="shared" si="11"/>
        <v>120000</v>
      </c>
      <c r="S139" s="28">
        <f>+'[1]EGR DICIEMBRE 2024'!$Q$101</f>
        <v>118168.58</v>
      </c>
      <c r="T139" s="28">
        <f t="shared" si="12"/>
        <v>1831.4199999999983</v>
      </c>
      <c r="U139" s="88"/>
    </row>
    <row r="140" spans="1:21" ht="33" customHeigh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44"/>
      <c r="M140" s="44"/>
      <c r="N140" s="44">
        <v>30000</v>
      </c>
      <c r="O140" s="44"/>
      <c r="P140" s="44"/>
      <c r="Q140" s="44"/>
      <c r="R140" s="28">
        <f t="shared" si="11"/>
        <v>38750</v>
      </c>
      <c r="S140" s="28">
        <f>+'[1]EGR DICIEMBRE 2024'!$Q$102</f>
        <v>1937.01</v>
      </c>
      <c r="T140" s="28">
        <f>R140-S140</f>
        <v>36812.99</v>
      </c>
      <c r="U140" s="88">
        <f>S140/$S$144</f>
        <v>2.4691306328022494E-4</v>
      </c>
    </row>
    <row r="141" spans="1:21" ht="15.95" customHeight="1" x14ac:dyDescent="0.25">
      <c r="A141" s="41"/>
      <c r="B141" s="100"/>
      <c r="C141" s="28"/>
      <c r="D141" s="28"/>
      <c r="E141" s="28"/>
      <c r="F141" s="28"/>
      <c r="G141" s="28"/>
      <c r="H141" s="28"/>
      <c r="I141" s="28"/>
      <c r="J141" s="44"/>
      <c r="K141" s="44"/>
      <c r="L141" s="44"/>
      <c r="M141" s="44"/>
      <c r="N141" s="44"/>
      <c r="O141" s="44"/>
      <c r="P141" s="44"/>
      <c r="Q141" s="44"/>
      <c r="R141" s="28">
        <f t="shared" si="11"/>
        <v>0</v>
      </c>
      <c r="S141" s="28"/>
      <c r="T141" s="28"/>
      <c r="U141" s="88"/>
    </row>
    <row r="142" spans="1:21" ht="15.95" customHeight="1" x14ac:dyDescent="0.25">
      <c r="A142" s="39">
        <v>9</v>
      </c>
      <c r="B142" s="108" t="s">
        <v>278</v>
      </c>
      <c r="C142" s="28"/>
      <c r="D142" s="28"/>
      <c r="E142" s="28"/>
      <c r="F142" s="28"/>
      <c r="G142" s="28"/>
      <c r="H142" s="28"/>
      <c r="I142" s="28"/>
      <c r="J142" s="44"/>
      <c r="K142" s="44"/>
      <c r="L142" s="44"/>
      <c r="M142" s="44"/>
      <c r="N142" s="44"/>
      <c r="O142" s="44"/>
      <c r="P142" s="44"/>
      <c r="Q142" s="44"/>
      <c r="R142" s="28">
        <f t="shared" si="11"/>
        <v>0</v>
      </c>
      <c r="S142" s="28"/>
      <c r="T142" s="28"/>
      <c r="U142" s="88"/>
    </row>
    <row r="143" spans="1:21" ht="15.95" customHeight="1" thickBot="1" x14ac:dyDescent="0.3">
      <c r="A143" s="41">
        <v>913</v>
      </c>
      <c r="B143" s="100" t="s">
        <v>277</v>
      </c>
      <c r="C143" s="28"/>
      <c r="D143" s="28"/>
      <c r="E143" s="28"/>
      <c r="F143" s="44"/>
      <c r="G143" s="44"/>
      <c r="H143" s="28"/>
      <c r="I143" s="28"/>
      <c r="J143" s="44"/>
      <c r="K143" s="44"/>
      <c r="L143" s="44"/>
      <c r="M143" s="44"/>
      <c r="N143" s="44">
        <v>300000</v>
      </c>
      <c r="O143" s="44"/>
      <c r="P143" s="44"/>
      <c r="Q143" s="44"/>
      <c r="R143" s="28">
        <f t="shared" si="11"/>
        <v>300000</v>
      </c>
      <c r="S143" s="28">
        <f>+'[1]EGR DICIEMBRE 2024'!$Q$103</f>
        <v>300000</v>
      </c>
      <c r="T143" s="28">
        <f>R143-S143</f>
        <v>0</v>
      </c>
      <c r="U143" s="88">
        <f>S143/$S$144</f>
        <v>3.8241371487017353E-2</v>
      </c>
    </row>
    <row r="144" spans="1:21" ht="18" customHeight="1" thickBot="1" x14ac:dyDescent="0.3">
      <c r="A144" s="32"/>
      <c r="B144" s="106" t="s">
        <v>90</v>
      </c>
      <c r="C144" s="34">
        <f t="shared" ref="C144:T144" si="13">SUM(C31:C143)</f>
        <v>8258523.6200000001</v>
      </c>
      <c r="D144" s="34">
        <f t="shared" si="13"/>
        <v>0</v>
      </c>
      <c r="E144" s="34">
        <f t="shared" si="13"/>
        <v>0</v>
      </c>
      <c r="F144" s="34">
        <f t="shared" si="13"/>
        <v>584600</v>
      </c>
      <c r="G144" s="34">
        <f t="shared" si="13"/>
        <v>584600</v>
      </c>
      <c r="H144" s="34">
        <f t="shared" si="13"/>
        <v>2655496.71</v>
      </c>
      <c r="I144" s="34">
        <f t="shared" si="13"/>
        <v>0</v>
      </c>
      <c r="J144" s="64">
        <f t="shared" si="13"/>
        <v>137000</v>
      </c>
      <c r="K144" s="64">
        <f t="shared" si="13"/>
        <v>137000</v>
      </c>
      <c r="L144" s="64">
        <f t="shared" si="13"/>
        <v>110000</v>
      </c>
      <c r="M144" s="64">
        <f t="shared" si="13"/>
        <v>110000</v>
      </c>
      <c r="N144" s="64">
        <f>SUM(N31:N143)</f>
        <v>1227591.97</v>
      </c>
      <c r="O144" s="64">
        <f>SUM(O31:O143)</f>
        <v>367955</v>
      </c>
      <c r="P144" s="64">
        <f>SUM(P31:P143)</f>
        <v>20500</v>
      </c>
      <c r="Q144" s="64">
        <f>SUM(Q31:Q143)</f>
        <v>20500</v>
      </c>
      <c r="R144" s="34">
        <f t="shared" si="13"/>
        <v>11773657.299999999</v>
      </c>
      <c r="S144" s="34">
        <f t="shared" si="13"/>
        <v>7844906.9249999998</v>
      </c>
      <c r="T144" s="34">
        <f t="shared" si="13"/>
        <v>3928750.3750000005</v>
      </c>
      <c r="U144" s="45">
        <v>1</v>
      </c>
    </row>
    <row r="145" spans="1:24" x14ac:dyDescent="0.2">
      <c r="A145" s="46"/>
      <c r="B145" s="110"/>
      <c r="C145" s="77"/>
      <c r="D145" s="76"/>
      <c r="E145" s="47"/>
      <c r="F145" s="47"/>
      <c r="G145" s="47"/>
      <c r="H145" s="47"/>
      <c r="I145" s="47"/>
      <c r="J145" s="65"/>
      <c r="K145" s="65"/>
      <c r="L145" s="65"/>
      <c r="M145" s="65"/>
      <c r="N145" s="65"/>
      <c r="O145" s="65"/>
      <c r="P145" s="65"/>
      <c r="Q145" s="65"/>
      <c r="R145" s="47">
        <f>+R144-R26</f>
        <v>0</v>
      </c>
      <c r="S145" s="47">
        <f>+S144-'[1]EGR DICIEMBRE 2024'!$Q$104</f>
        <v>0</v>
      </c>
      <c r="T145" s="47"/>
      <c r="W145" s="65"/>
      <c r="X145" s="65"/>
    </row>
    <row r="146" spans="1:24" ht="15.75" thickBot="1" x14ac:dyDescent="0.25">
      <c r="E146" s="12"/>
      <c r="F146" s="4"/>
      <c r="R146" s="14"/>
      <c r="S146" s="4"/>
      <c r="W146" s="66"/>
    </row>
    <row r="147" spans="1:24" ht="15.75" x14ac:dyDescent="0.25">
      <c r="A147" s="1" t="s">
        <v>83</v>
      </c>
      <c r="B147" s="112"/>
      <c r="C147" s="3"/>
      <c r="D147" s="4"/>
      <c r="E147" s="4"/>
      <c r="F147" s="4"/>
      <c r="G147" s="4"/>
      <c r="H147" s="4"/>
      <c r="I147" s="4"/>
      <c r="J147" s="66"/>
      <c r="K147" s="66"/>
      <c r="L147" s="66"/>
      <c r="M147" s="66"/>
      <c r="N147" s="66"/>
      <c r="O147" s="66"/>
      <c r="P147" s="66"/>
      <c r="Q147" s="66"/>
      <c r="R147" s="4"/>
      <c r="S147" s="4"/>
      <c r="W147" s="66"/>
      <c r="X147" s="66"/>
    </row>
    <row r="148" spans="1:24" ht="15.75" x14ac:dyDescent="0.25">
      <c r="A148" s="5" t="s">
        <v>2</v>
      </c>
      <c r="B148" s="101"/>
      <c r="C148" s="7"/>
      <c r="D148" s="4"/>
      <c r="E148" s="4"/>
      <c r="F148" s="4"/>
      <c r="G148" s="4"/>
      <c r="H148" s="4"/>
      <c r="I148" s="4"/>
      <c r="J148" s="66"/>
      <c r="K148" s="66"/>
      <c r="L148" s="66"/>
      <c r="M148" s="66"/>
      <c r="N148" s="66"/>
      <c r="O148" s="66"/>
      <c r="P148" s="66"/>
      <c r="Q148" s="66"/>
      <c r="R148" s="4"/>
      <c r="S148" s="4"/>
      <c r="W148" s="66"/>
      <c r="X148" s="66"/>
    </row>
    <row r="149" spans="1:24" ht="5.0999999999999996" customHeight="1" thickBot="1" x14ac:dyDescent="0.25">
      <c r="A149" s="8"/>
      <c r="B149" s="113"/>
      <c r="C149" s="10"/>
      <c r="D149" s="4"/>
      <c r="E149" s="4"/>
      <c r="F149" s="4"/>
      <c r="G149" s="4"/>
      <c r="H149" s="4"/>
      <c r="I149" s="4"/>
      <c r="J149" s="66"/>
      <c r="K149" s="66"/>
      <c r="L149" s="66"/>
      <c r="M149" s="66"/>
      <c r="N149" s="66"/>
      <c r="O149" s="66"/>
      <c r="P149" s="66"/>
      <c r="Q149" s="66"/>
      <c r="R149" s="4"/>
      <c r="S149" s="4"/>
      <c r="W149" s="66"/>
      <c r="X149" s="66"/>
    </row>
    <row r="150" spans="1:24" ht="6.95" customHeight="1" x14ac:dyDescent="0.2">
      <c r="A150" s="48"/>
      <c r="B150" s="114"/>
      <c r="C150" s="50"/>
      <c r="D150" s="4"/>
      <c r="E150" s="4"/>
      <c r="F150" s="4"/>
      <c r="G150" s="4"/>
      <c r="H150" s="4"/>
      <c r="I150" s="4"/>
      <c r="J150" s="66"/>
      <c r="K150" s="66"/>
      <c r="L150" s="66"/>
      <c r="M150" s="66"/>
      <c r="N150" s="66"/>
      <c r="O150" s="66"/>
      <c r="P150" s="66"/>
      <c r="Q150" s="66"/>
      <c r="R150" s="4"/>
      <c r="S150" s="4"/>
      <c r="W150" s="66"/>
      <c r="X150" s="66"/>
    </row>
    <row r="151" spans="1:24" x14ac:dyDescent="0.2">
      <c r="A151" s="51" t="s">
        <v>84</v>
      </c>
      <c r="B151" s="115"/>
      <c r="C151" s="53"/>
      <c r="D151" s="4"/>
      <c r="E151" s="4"/>
      <c r="F151" s="4"/>
      <c r="G151" s="4"/>
      <c r="H151" s="4"/>
      <c r="I151" s="4"/>
      <c r="J151" s="66"/>
      <c r="K151" s="66"/>
      <c r="L151" s="66"/>
      <c r="M151" s="66"/>
      <c r="N151" s="66"/>
      <c r="O151" s="66"/>
      <c r="P151" s="66"/>
      <c r="Q151" s="66"/>
      <c r="R151" s="4"/>
      <c r="W151" s="66"/>
      <c r="X151" s="66"/>
    </row>
    <row r="152" spans="1:24" x14ac:dyDescent="0.2">
      <c r="A152" s="54" t="s">
        <v>257</v>
      </c>
      <c r="B152" s="115"/>
      <c r="C152" s="69">
        <f>1808838.07-22528.77+1485468.83</f>
        <v>3271778.13</v>
      </c>
      <c r="D152" s="47"/>
      <c r="E152" s="4"/>
      <c r="F152" s="4"/>
      <c r="G152" s="4"/>
      <c r="H152" s="4"/>
      <c r="I152" s="4"/>
      <c r="J152" s="66"/>
      <c r="K152" s="66"/>
      <c r="L152" s="66"/>
      <c r="M152" s="66"/>
      <c r="N152" s="66"/>
      <c r="O152" s="66"/>
      <c r="P152" s="66"/>
      <c r="Q152" s="66"/>
      <c r="R152" s="4"/>
      <c r="W152" s="66"/>
      <c r="X152" s="66"/>
    </row>
    <row r="153" spans="1:24" x14ac:dyDescent="0.2">
      <c r="A153" s="54"/>
      <c r="B153" s="115"/>
      <c r="C153" s="69"/>
      <c r="D153" s="47"/>
      <c r="E153" s="4"/>
      <c r="F153" s="4"/>
      <c r="G153" s="4"/>
      <c r="H153" s="4"/>
      <c r="I153" s="4"/>
      <c r="J153" s="66"/>
      <c r="K153" s="66"/>
      <c r="L153" s="66"/>
      <c r="M153" s="66"/>
      <c r="N153" s="66"/>
      <c r="O153" s="66"/>
      <c r="P153" s="66"/>
      <c r="Q153" s="66"/>
      <c r="R153" s="4"/>
      <c r="W153" s="66"/>
      <c r="X153" s="66"/>
    </row>
    <row r="154" spans="1:24" x14ac:dyDescent="0.2">
      <c r="A154" s="54" t="s">
        <v>85</v>
      </c>
      <c r="B154" s="115"/>
      <c r="C154" s="69">
        <f>S26</f>
        <v>8319069.6899999995</v>
      </c>
      <c r="D154" s="47"/>
      <c r="E154" s="4"/>
      <c r="F154" s="4"/>
      <c r="G154" s="4"/>
      <c r="H154" s="4"/>
      <c r="I154" s="4"/>
      <c r="J154" s="66"/>
      <c r="K154" s="66"/>
      <c r="L154" s="66"/>
      <c r="M154" s="66"/>
      <c r="N154" s="66"/>
      <c r="O154" s="66"/>
      <c r="P154" s="66"/>
      <c r="Q154" s="66"/>
      <c r="R154" s="4"/>
      <c r="W154" s="66"/>
      <c r="X154" s="66"/>
    </row>
    <row r="155" spans="1:24" x14ac:dyDescent="0.2">
      <c r="A155" s="54" t="s">
        <v>86</v>
      </c>
      <c r="B155" s="115"/>
      <c r="C155" s="70">
        <f>-S144</f>
        <v>-7844906.9249999998</v>
      </c>
      <c r="D155" s="4"/>
      <c r="E155" s="4"/>
      <c r="F155" s="4"/>
      <c r="G155" s="4"/>
      <c r="H155" s="4"/>
      <c r="I155" s="4"/>
      <c r="J155" s="66"/>
      <c r="K155" s="66"/>
      <c r="L155" s="66"/>
      <c r="M155" s="66"/>
      <c r="N155" s="66"/>
      <c r="O155" s="66"/>
      <c r="P155" s="66"/>
      <c r="Q155" s="66"/>
      <c r="R155" s="4"/>
      <c r="W155" s="66"/>
      <c r="X155" s="66"/>
    </row>
    <row r="156" spans="1:24" ht="15.75" x14ac:dyDescent="0.25">
      <c r="A156" s="55" t="s">
        <v>87</v>
      </c>
      <c r="B156" s="116"/>
      <c r="C156" s="71">
        <f>SUM(C152:C155)</f>
        <v>3745940.8950000005</v>
      </c>
      <c r="D156" s="4"/>
      <c r="E156" s="4"/>
      <c r="F156" s="4"/>
      <c r="G156" s="4"/>
      <c r="H156" s="4"/>
      <c r="I156" s="4"/>
      <c r="J156" s="66"/>
      <c r="K156" s="66"/>
      <c r="L156" s="66"/>
      <c r="M156" s="66"/>
      <c r="N156" s="66"/>
      <c r="O156" s="66"/>
      <c r="P156" s="66"/>
      <c r="Q156" s="66"/>
      <c r="R156" s="4"/>
      <c r="W156" s="66"/>
      <c r="X156" s="66"/>
    </row>
    <row r="157" spans="1:24" ht="15.75" x14ac:dyDescent="0.25">
      <c r="A157" s="55"/>
      <c r="B157" s="116"/>
      <c r="C157" s="71"/>
      <c r="D157" s="4"/>
      <c r="E157" s="4"/>
      <c r="F157" s="4"/>
      <c r="G157" s="4"/>
      <c r="H157" s="4"/>
      <c r="I157" s="4"/>
      <c r="J157" s="66"/>
      <c r="K157" s="66"/>
      <c r="L157" s="66"/>
      <c r="M157" s="66"/>
      <c r="N157" s="66"/>
      <c r="O157" s="66"/>
      <c r="P157" s="66"/>
      <c r="Q157" s="66"/>
      <c r="R157" s="4"/>
      <c r="W157" s="66"/>
      <c r="X157" s="66"/>
    </row>
    <row r="158" spans="1:24" x14ac:dyDescent="0.2">
      <c r="A158" s="51" t="s">
        <v>88</v>
      </c>
      <c r="B158" s="115"/>
      <c r="C158" s="69"/>
      <c r="D158" s="4"/>
      <c r="E158" s="4"/>
      <c r="F158" s="4"/>
      <c r="G158" s="4"/>
      <c r="H158" s="4"/>
      <c r="I158" s="4"/>
      <c r="J158" s="66"/>
      <c r="K158" s="66"/>
      <c r="L158" s="66"/>
      <c r="M158" s="66"/>
      <c r="N158" s="66"/>
      <c r="O158" s="66"/>
      <c r="P158" s="66"/>
      <c r="Q158" s="66"/>
      <c r="R158" s="4"/>
      <c r="W158" s="66"/>
      <c r="X158" s="66"/>
    </row>
    <row r="159" spans="1:24" ht="12" customHeight="1" x14ac:dyDescent="0.2">
      <c r="A159" s="54" t="s">
        <v>147</v>
      </c>
      <c r="B159" s="115"/>
      <c r="C159" s="69">
        <v>271.86</v>
      </c>
      <c r="D159" s="4"/>
      <c r="E159" s="4"/>
      <c r="F159" s="4"/>
      <c r="G159" s="4"/>
      <c r="H159" s="4"/>
      <c r="I159" s="4"/>
      <c r="J159" s="66"/>
      <c r="K159" s="66"/>
      <c r="L159" s="66"/>
      <c r="M159" s="66"/>
      <c r="N159" s="66"/>
      <c r="O159" s="66"/>
      <c r="P159" s="66"/>
      <c r="Q159" s="66"/>
      <c r="R159" s="4"/>
      <c r="W159" s="66"/>
      <c r="X159" s="66"/>
    </row>
    <row r="160" spans="1:24" x14ac:dyDescent="0.2">
      <c r="A160" s="54" t="s">
        <v>150</v>
      </c>
      <c r="B160" s="115"/>
      <c r="C160" s="69">
        <v>13123.65</v>
      </c>
      <c r="D160" s="79"/>
      <c r="E160" s="4"/>
      <c r="F160" s="4"/>
      <c r="G160" s="4"/>
      <c r="H160" s="4"/>
      <c r="I160" s="4"/>
      <c r="J160" s="66"/>
      <c r="K160" s="66"/>
      <c r="L160" s="66"/>
      <c r="M160" s="66"/>
      <c r="N160" s="66"/>
      <c r="O160" s="66"/>
      <c r="P160" s="66"/>
      <c r="Q160" s="66"/>
      <c r="R160" s="4"/>
      <c r="W160" s="66"/>
      <c r="X160" s="66"/>
    </row>
    <row r="161" spans="1:24" x14ac:dyDescent="0.2">
      <c r="A161" s="54" t="s">
        <v>287</v>
      </c>
      <c r="B161" s="115"/>
      <c r="C161" s="69">
        <v>4531.38</v>
      </c>
      <c r="D161" s="79"/>
      <c r="E161" s="4"/>
      <c r="F161" s="4"/>
      <c r="G161" s="4"/>
      <c r="H161" s="4"/>
      <c r="I161" s="4"/>
      <c r="J161" s="66"/>
      <c r="K161" s="66"/>
      <c r="L161" s="66"/>
      <c r="M161" s="66"/>
      <c r="N161" s="66"/>
      <c r="O161" s="66"/>
      <c r="P161" s="66"/>
      <c r="Q161" s="66"/>
      <c r="R161" s="4"/>
      <c r="W161" s="66"/>
      <c r="X161" s="66"/>
    </row>
    <row r="162" spans="1:24" x14ac:dyDescent="0.2">
      <c r="A162" s="54" t="s">
        <v>149</v>
      </c>
      <c r="B162" s="115"/>
      <c r="C162" s="69">
        <v>2118.0100000000002</v>
      </c>
      <c r="D162" s="80"/>
      <c r="E162" s="4"/>
      <c r="F162" s="4"/>
      <c r="G162" s="4"/>
      <c r="H162" s="4"/>
      <c r="I162" s="4"/>
      <c r="J162" s="66"/>
      <c r="K162" s="66"/>
      <c r="L162" s="66"/>
      <c r="M162" s="66"/>
      <c r="N162" s="66"/>
      <c r="O162" s="66"/>
      <c r="P162" s="66"/>
      <c r="Q162" s="66"/>
      <c r="R162" s="4"/>
      <c r="W162" s="66"/>
      <c r="X162" s="66"/>
    </row>
    <row r="163" spans="1:24" x14ac:dyDescent="0.2">
      <c r="A163" s="54" t="s">
        <v>293</v>
      </c>
      <c r="B163" s="115"/>
      <c r="C163" s="69">
        <v>3097.37</v>
      </c>
      <c r="D163" s="80"/>
      <c r="E163" s="4"/>
      <c r="F163" s="4"/>
      <c r="G163" s="4"/>
      <c r="H163" s="4"/>
      <c r="I163" s="4"/>
      <c r="J163" s="66"/>
      <c r="K163" s="66"/>
      <c r="L163" s="66"/>
      <c r="M163" s="66"/>
      <c r="N163" s="66"/>
      <c r="O163" s="66"/>
      <c r="P163" s="66"/>
      <c r="Q163" s="66"/>
      <c r="R163" s="4"/>
      <c r="W163" s="66"/>
      <c r="X163" s="66"/>
    </row>
    <row r="164" spans="1:24" x14ac:dyDescent="0.2">
      <c r="A164" s="54" t="s">
        <v>248</v>
      </c>
      <c r="B164" s="115"/>
      <c r="C164" s="69">
        <v>7433.7</v>
      </c>
      <c r="D164" s="80"/>
      <c r="E164" s="4"/>
      <c r="F164" s="4"/>
      <c r="G164" s="4"/>
      <c r="H164" s="4"/>
      <c r="I164" s="4"/>
      <c r="J164" s="66"/>
      <c r="K164" s="66"/>
      <c r="L164" s="66"/>
      <c r="M164" s="66"/>
      <c r="N164" s="66"/>
      <c r="O164" s="66"/>
      <c r="P164" s="66"/>
      <c r="Q164" s="66"/>
      <c r="R164" s="4"/>
      <c r="W164" s="66"/>
      <c r="X164" s="66"/>
    </row>
    <row r="165" spans="1:24" x14ac:dyDescent="0.2">
      <c r="A165" s="54"/>
      <c r="B165" s="115"/>
      <c r="C165" s="69"/>
      <c r="D165" s="80"/>
      <c r="E165" s="4"/>
      <c r="F165" s="4"/>
      <c r="G165" s="4"/>
      <c r="H165" s="4"/>
      <c r="I165" s="4"/>
      <c r="J165" s="66"/>
      <c r="K165" s="66"/>
      <c r="L165" s="66"/>
      <c r="M165" s="66"/>
      <c r="N165" s="66"/>
      <c r="O165" s="66"/>
      <c r="P165" s="66"/>
      <c r="Q165" s="66"/>
      <c r="R165" s="4"/>
      <c r="W165" s="66"/>
      <c r="X165" s="66"/>
    </row>
    <row r="166" spans="1:24" x14ac:dyDescent="0.2">
      <c r="A166" s="54"/>
      <c r="B166" s="115"/>
      <c r="C166" s="70"/>
      <c r="D166" s="81"/>
      <c r="E166" s="82"/>
      <c r="F166" s="4"/>
      <c r="G166" s="4"/>
      <c r="H166" s="4"/>
      <c r="I166" s="4"/>
      <c r="J166" s="66"/>
      <c r="K166" s="66"/>
      <c r="L166" s="66"/>
      <c r="M166" s="66"/>
      <c r="N166" s="66"/>
      <c r="O166" s="66"/>
      <c r="P166" s="66"/>
      <c r="Q166" s="66"/>
      <c r="R166" s="4"/>
      <c r="W166" s="66"/>
      <c r="X166" s="66"/>
    </row>
    <row r="167" spans="1:24" ht="15.75" x14ac:dyDescent="0.25">
      <c r="A167" s="55"/>
      <c r="B167" s="116"/>
      <c r="C167" s="71">
        <f>SUM(C159:C166)</f>
        <v>30575.97</v>
      </c>
      <c r="D167" s="81"/>
      <c r="E167" s="82"/>
      <c r="F167" s="4"/>
      <c r="G167" s="4"/>
      <c r="H167" s="4"/>
      <c r="I167" s="4"/>
      <c r="J167" s="66"/>
      <c r="K167" s="66"/>
      <c r="L167" s="66"/>
      <c r="M167" s="66"/>
      <c r="N167" s="66"/>
      <c r="O167" s="66"/>
      <c r="P167" s="66"/>
      <c r="Q167" s="66"/>
      <c r="R167" s="4"/>
      <c r="W167" s="66"/>
      <c r="X167" s="66"/>
    </row>
    <row r="168" spans="1:24" ht="2.1" customHeight="1" x14ac:dyDescent="0.25">
      <c r="A168" s="55"/>
      <c r="B168" s="116"/>
      <c r="C168" s="72"/>
      <c r="D168" s="80"/>
      <c r="E168" s="4"/>
      <c r="F168" s="4"/>
      <c r="G168" s="4"/>
      <c r="H168" s="4"/>
      <c r="I168" s="4"/>
      <c r="J168" s="66"/>
      <c r="K168" s="66"/>
      <c r="L168" s="66"/>
      <c r="M168" s="66"/>
      <c r="N168" s="66"/>
      <c r="O168" s="66"/>
      <c r="P168" s="66"/>
      <c r="Q168" s="66"/>
      <c r="R168" s="4"/>
      <c r="W168" s="66"/>
      <c r="X168" s="66"/>
    </row>
    <row r="169" spans="1:24" x14ac:dyDescent="0.2">
      <c r="A169" s="54"/>
      <c r="B169" s="115"/>
      <c r="C169" s="69"/>
      <c r="D169" s="80"/>
      <c r="E169" s="4"/>
      <c r="F169" s="4"/>
      <c r="G169" s="4"/>
      <c r="H169" s="4"/>
      <c r="I169" s="4"/>
      <c r="J169" s="66"/>
      <c r="K169" s="66"/>
      <c r="L169" s="66"/>
      <c r="M169" s="66"/>
      <c r="N169" s="66"/>
      <c r="O169" s="66"/>
      <c r="P169" s="66"/>
      <c r="Q169" s="66"/>
      <c r="R169" s="4"/>
      <c r="W169" s="66"/>
      <c r="X169" s="66"/>
    </row>
    <row r="170" spans="1:24" ht="2.1" customHeight="1" thickBot="1" x14ac:dyDescent="0.3">
      <c r="A170" s="57" t="s">
        <v>238</v>
      </c>
      <c r="B170" s="117"/>
      <c r="C170" s="68">
        <f>C156+C167</f>
        <v>3776516.8650000007</v>
      </c>
      <c r="D170" s="79"/>
      <c r="E170" s="4"/>
      <c r="F170" s="4"/>
      <c r="G170" s="4"/>
      <c r="H170" s="4"/>
      <c r="I170" s="4"/>
      <c r="J170" s="66"/>
      <c r="K170" s="66"/>
      <c r="L170" s="66"/>
      <c r="M170" s="66"/>
      <c r="N170" s="66"/>
      <c r="O170" s="66"/>
      <c r="P170" s="66"/>
      <c r="Q170" s="66"/>
      <c r="R170" s="4"/>
      <c r="W170" s="66"/>
      <c r="X170" s="66"/>
    </row>
    <row r="171" spans="1:24" ht="9.9499999999999993" customHeight="1" x14ac:dyDescent="0.2">
      <c r="A171" s="54"/>
      <c r="B171" s="115"/>
      <c r="C171" s="69"/>
      <c r="D171" s="79"/>
      <c r="E171" s="4"/>
      <c r="F171" s="4"/>
      <c r="G171" s="4"/>
      <c r="H171" s="4"/>
      <c r="I171" s="4"/>
      <c r="J171" s="66"/>
      <c r="K171" s="66"/>
      <c r="L171" s="66"/>
      <c r="M171" s="66"/>
      <c r="N171" s="66"/>
      <c r="O171" s="66"/>
      <c r="P171" s="66"/>
      <c r="Q171" s="66"/>
      <c r="R171" s="4"/>
      <c r="W171" s="66"/>
      <c r="X171" s="66"/>
    </row>
    <row r="172" spans="1:24" ht="16.5" thickBot="1" x14ac:dyDescent="0.3">
      <c r="A172" s="57" t="s">
        <v>292</v>
      </c>
      <c r="B172" s="117"/>
      <c r="C172" s="68">
        <f>C156+C167</f>
        <v>3776516.8650000007</v>
      </c>
      <c r="D172" s="81"/>
      <c r="E172" s="4"/>
      <c r="F172" s="4"/>
      <c r="G172" s="4"/>
      <c r="H172" s="4"/>
      <c r="I172" s="4"/>
      <c r="J172" s="66"/>
      <c r="K172" s="66"/>
      <c r="L172" s="66"/>
      <c r="M172" s="66"/>
      <c r="N172" s="66"/>
      <c r="O172" s="66"/>
      <c r="P172" s="66"/>
      <c r="Q172" s="66"/>
      <c r="R172" s="4"/>
      <c r="S172" s="4"/>
      <c r="W172" s="66"/>
      <c r="X172" s="66"/>
    </row>
    <row r="173" spans="1:24" x14ac:dyDescent="0.2">
      <c r="A173" s="52"/>
      <c r="B173" s="118"/>
      <c r="C173" s="4"/>
      <c r="D173" s="4"/>
      <c r="E173" s="4"/>
      <c r="F173" s="4"/>
      <c r="G173" s="4"/>
      <c r="H173" s="4"/>
      <c r="I173" s="4"/>
      <c r="J173" s="66"/>
      <c r="K173" s="66"/>
      <c r="L173" s="66"/>
      <c r="M173" s="66"/>
      <c r="N173" s="66"/>
      <c r="O173" s="66"/>
      <c r="P173" s="66"/>
      <c r="Q173" s="66"/>
      <c r="R173" s="4"/>
      <c r="W173" s="66"/>
      <c r="X173" s="66"/>
    </row>
    <row r="174" spans="1:24" x14ac:dyDescent="0.2">
      <c r="C174" s="14"/>
      <c r="D174" s="4"/>
    </row>
    <row r="175" spans="1:24" x14ac:dyDescent="0.2">
      <c r="C175" s="14"/>
      <c r="D175" s="4"/>
    </row>
    <row r="176" spans="1:24" x14ac:dyDescent="0.2">
      <c r="C176" s="14"/>
      <c r="D176" s="4"/>
    </row>
    <row r="177" spans="2:24" x14ac:dyDescent="0.2">
      <c r="C177" s="14"/>
      <c r="D177" s="4"/>
    </row>
    <row r="178" spans="2:24" x14ac:dyDescent="0.2">
      <c r="D178" s="4"/>
    </row>
    <row r="179" spans="2:24" x14ac:dyDescent="0.2">
      <c r="D179" s="4"/>
    </row>
    <row r="180" spans="2:24" x14ac:dyDescent="0.2">
      <c r="B180" s="119" t="s">
        <v>254</v>
      </c>
      <c r="C180" s="85" t="s">
        <v>255</v>
      </c>
      <c r="E180" s="85"/>
      <c r="I180" s="84" t="s">
        <v>260</v>
      </c>
      <c r="J180" s="85"/>
      <c r="K180" s="74"/>
      <c r="M180" s="85" t="s">
        <v>279</v>
      </c>
      <c r="N180" s="85"/>
      <c r="O180" s="85"/>
      <c r="P180" s="85"/>
      <c r="Q180" s="85"/>
      <c r="W180" s="85"/>
      <c r="X180" s="74"/>
    </row>
    <row r="181" spans="2:24" x14ac:dyDescent="0.2">
      <c r="B181" s="119" t="s">
        <v>89</v>
      </c>
      <c r="C181" s="85" t="s">
        <v>261</v>
      </c>
      <c r="E181" s="85"/>
      <c r="I181" s="84" t="s">
        <v>247</v>
      </c>
      <c r="J181" s="84"/>
      <c r="M181" s="84" t="s">
        <v>242</v>
      </c>
      <c r="N181" s="84"/>
      <c r="O181" s="84"/>
      <c r="P181" s="84"/>
      <c r="Q181" s="84"/>
      <c r="W181" s="84"/>
    </row>
    <row r="185" spans="2:24" x14ac:dyDescent="0.2">
      <c r="I185" s="4"/>
      <c r="K185" s="66"/>
      <c r="M185" s="66"/>
      <c r="N185" s="66"/>
      <c r="O185" s="66"/>
      <c r="P185" s="66"/>
      <c r="Q185" s="66"/>
      <c r="R185" s="4"/>
      <c r="X185" s="66"/>
    </row>
    <row r="186" spans="2:24" x14ac:dyDescent="0.2">
      <c r="I186" s="4"/>
      <c r="K186" s="66"/>
      <c r="M186" s="66"/>
      <c r="N186" s="66"/>
      <c r="O186" s="66"/>
      <c r="P186" s="66"/>
      <c r="Q186" s="66"/>
      <c r="R186" s="4"/>
      <c r="X186" s="66"/>
    </row>
    <row r="187" spans="2:24" x14ac:dyDescent="0.2">
      <c r="G187" s="59"/>
      <c r="I187" s="59"/>
      <c r="K187" s="67"/>
      <c r="M187" s="67"/>
      <c r="N187" s="67"/>
      <c r="O187" s="67"/>
      <c r="P187" s="67"/>
      <c r="Q187" s="67"/>
      <c r="R187" s="4"/>
      <c r="X187" s="67"/>
    </row>
    <row r="188" spans="2:24" x14ac:dyDescent="0.2">
      <c r="G188" s="59"/>
      <c r="I188" s="59"/>
      <c r="K188" s="67"/>
      <c r="M188" s="67"/>
      <c r="N188" s="67"/>
      <c r="O188" s="67"/>
      <c r="P188" s="67"/>
      <c r="Q188" s="67"/>
      <c r="R188" s="4"/>
      <c r="X188" s="67"/>
    </row>
    <row r="189" spans="2:24" x14ac:dyDescent="0.2">
      <c r="G189" s="59"/>
      <c r="R189" s="4"/>
    </row>
    <row r="190" spans="2:24" x14ac:dyDescent="0.2">
      <c r="G190" s="59"/>
    </row>
    <row r="191" spans="2:24" x14ac:dyDescent="0.2">
      <c r="G191" s="59"/>
    </row>
    <row r="192" spans="2:24" x14ac:dyDescent="0.2">
      <c r="G192" s="59"/>
      <c r="R192" s="4"/>
    </row>
    <row r="193" spans="7:7" x14ac:dyDescent="0.2">
      <c r="G193" s="59"/>
    </row>
    <row r="194" spans="7:7" x14ac:dyDescent="0.2">
      <c r="G194" s="59"/>
    </row>
    <row r="195" spans="7:7" x14ac:dyDescent="0.2">
      <c r="G195" s="59"/>
    </row>
    <row r="196" spans="7:7" x14ac:dyDescent="0.2">
      <c r="G196" s="59"/>
    </row>
    <row r="197" spans="7:7" x14ac:dyDescent="0.2">
      <c r="G197" s="59"/>
    </row>
    <row r="198" spans="7:7" x14ac:dyDescent="0.2">
      <c r="G198" s="59"/>
    </row>
    <row r="199" spans="7:7" x14ac:dyDescent="0.2">
      <c r="G199" s="59"/>
    </row>
    <row r="200" spans="7:7" x14ac:dyDescent="0.2">
      <c r="G200" s="59"/>
    </row>
    <row r="201" spans="7:7" x14ac:dyDescent="0.2">
      <c r="G201" s="59"/>
    </row>
    <row r="202" spans="7:7" x14ac:dyDescent="0.2">
      <c r="G202" s="59"/>
    </row>
    <row r="203" spans="7:7" x14ac:dyDescent="0.2">
      <c r="G203" s="59"/>
    </row>
    <row r="204" spans="7:7" x14ac:dyDescent="0.2">
      <c r="G204" s="59"/>
    </row>
  </sheetData>
  <mergeCells count="7">
    <mergeCell ref="S6:S7"/>
    <mergeCell ref="P6:Q6"/>
    <mergeCell ref="B6:B7"/>
    <mergeCell ref="H6:I6"/>
    <mergeCell ref="J6:K6"/>
    <mergeCell ref="L6:M6"/>
    <mergeCell ref="N6:O6"/>
  </mergeCells>
  <pageMargins left="1.2204724409448819" right="0.23622047244094491" top="0.74803149606299213" bottom="0.74803149606299213" header="0.31496062992125984" footer="0.31496062992125984"/>
  <pageSetup paperSize="5" scale="49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9028D-0834-48D8-934D-667FF126C058}">
  <sheetPr>
    <pageSetUpPr fitToPage="1"/>
  </sheetPr>
  <dimension ref="A1:O209"/>
  <sheetViews>
    <sheetView topLeftCell="A9" zoomScaleNormal="100" workbookViewId="0">
      <selection activeCell="B158" sqref="B158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237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</f>
        <v>16601</v>
      </c>
      <c r="N10" s="28">
        <f t="shared" ref="N10:N22" si="1">L10-M10</f>
        <v>20399</v>
      </c>
      <c r="O10" s="27">
        <f>M10/$M$26</f>
        <v>1.9744086853525661E-2</v>
      </c>
    </row>
    <row r="11" spans="1:15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1.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v>0.41</v>
      </c>
      <c r="N12" s="28">
        <f t="shared" si="1"/>
        <v>30499.59</v>
      </c>
      <c r="O12" s="27">
        <f>M12/$M$26</f>
        <v>4.8762578217851455E-7</v>
      </c>
    </row>
    <row r="13" spans="1:15" ht="31.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</f>
        <v>2283.9300000000003</v>
      </c>
      <c r="N15" s="28">
        <f t="shared" si="1"/>
        <v>6516.07</v>
      </c>
      <c r="O15" s="27">
        <f>M15/$M$26</f>
        <v>2.7163491529048171E-3</v>
      </c>
    </row>
    <row r="16" spans="1:15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5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5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/>
      <c r="I18" s="28"/>
      <c r="J18" s="44"/>
      <c r="K18" s="44"/>
      <c r="L18" s="28">
        <f>C18+D18-E18+F18-G18+J18-I18-K18</f>
        <v>3669949.52</v>
      </c>
      <c r="M18" s="28">
        <f>249714.95+226495.4+345713.01</f>
        <v>821923.36</v>
      </c>
      <c r="N18" s="28">
        <f t="shared" si="1"/>
        <v>2848026.16</v>
      </c>
      <c r="O18" s="27">
        <f>M18/$M$26</f>
        <v>0.97753907636778736</v>
      </c>
    </row>
    <row r="19" spans="1:15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</row>
    <row r="20" spans="1:15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/>
      <c r="I20" s="28"/>
      <c r="J20" s="44"/>
      <c r="K20" s="44"/>
      <c r="L20" s="28">
        <f t="shared" si="0"/>
        <v>1904175.88</v>
      </c>
      <c r="M20" s="28"/>
      <c r="N20" s="28">
        <f t="shared" si="1"/>
        <v>1904175.88</v>
      </c>
      <c r="O20" s="27">
        <f>M20/$M$26</f>
        <v>0</v>
      </c>
    </row>
    <row r="21" spans="1:15" ht="15.95" customHeight="1" x14ac:dyDescent="0.25">
      <c r="A21" s="29" t="s">
        <v>25</v>
      </c>
      <c r="B21" s="29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</row>
    <row r="22" spans="1:15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5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5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5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5" ht="18" customHeight="1" thickBot="1" x14ac:dyDescent="0.3">
      <c r="A26" s="32"/>
      <c r="B26" s="33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8258523.620000001</v>
      </c>
      <c r="M26" s="34">
        <f>SUM(M10:M25)</f>
        <v>840808.7</v>
      </c>
      <c r="N26" s="34">
        <f t="shared" si="2"/>
        <v>7417714.9199999999</v>
      </c>
      <c r="O26" s="27"/>
    </row>
    <row r="27" spans="1:15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5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5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5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5" ht="15.95" customHeight="1" x14ac:dyDescent="0.2">
      <c r="A31" s="41" t="s">
        <v>36</v>
      </c>
      <c r="B31" s="29" t="s">
        <v>152</v>
      </c>
      <c r="C31" s="28">
        <v>814572.04</v>
      </c>
      <c r="D31" s="28"/>
      <c r="E31" s="28"/>
      <c r="F31" s="44">
        <v>6000</v>
      </c>
      <c r="G31" s="44"/>
      <c r="H31" s="28"/>
      <c r="I31" s="28"/>
      <c r="J31" s="44"/>
      <c r="K31" s="44"/>
      <c r="L31" s="28">
        <f>C31+D31-E31+F31-G31+H31+J31-I31-K31</f>
        <v>820572.04</v>
      </c>
      <c r="M31" s="28">
        <f>59982.77+68194.09+68194.09</f>
        <v>196370.94999999998</v>
      </c>
      <c r="N31" s="28">
        <f t="shared" ref="N31:N101" si="3">L31-M31</f>
        <v>624201.09000000008</v>
      </c>
      <c r="O31" s="38">
        <f>M31/$M$141</f>
        <v>0.15404114440477495</v>
      </c>
    </row>
    <row r="32" spans="1:15" ht="32.2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f>750+750+750</f>
        <v>2250</v>
      </c>
      <c r="N32" s="28">
        <f t="shared" si="3"/>
        <v>11450</v>
      </c>
      <c r="O32" s="38">
        <f>M32/$M$141</f>
        <v>1.7649890419674788E-3</v>
      </c>
    </row>
    <row r="33" spans="1:15" ht="30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f>18899+21149+21149</f>
        <v>61197</v>
      </c>
      <c r="N33" s="28">
        <f t="shared" si="3"/>
        <v>249903</v>
      </c>
      <c r="O33" s="38">
        <f>M33/$M$141</f>
        <v>4.80053486227928E-2</v>
      </c>
    </row>
    <row r="34" spans="1:15" ht="15.95" customHeight="1" x14ac:dyDescent="0.3">
      <c r="A34" s="41" t="s">
        <v>250</v>
      </c>
      <c r="B34" s="29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5">M35/$M$141</f>
        <v>0</v>
      </c>
    </row>
    <row r="36" spans="1:15" ht="15.95" customHeight="1" x14ac:dyDescent="0.2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/>
      <c r="K36" s="44"/>
      <c r="L36" s="28">
        <f t="shared" si="4"/>
        <v>17500</v>
      </c>
      <c r="M36" s="28">
        <f>540+1620+1620</f>
        <v>3780</v>
      </c>
      <c r="N36" s="28">
        <f t="shared" si="3"/>
        <v>13720</v>
      </c>
      <c r="O36" s="38">
        <f t="shared" si="5"/>
        <v>2.9651815905053641E-3</v>
      </c>
    </row>
    <row r="37" spans="1:15" ht="15.95" customHeight="1" x14ac:dyDescent="0.2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v>818.04</v>
      </c>
      <c r="N37" s="28">
        <f t="shared" si="3"/>
        <v>33692.76</v>
      </c>
      <c r="O37" s="38">
        <f t="shared" si="5"/>
        <v>6.4170294928492277E-4</v>
      </c>
    </row>
    <row r="38" spans="1:15" ht="15.95" customHeight="1" x14ac:dyDescent="0.2">
      <c r="A38" s="41" t="s">
        <v>42</v>
      </c>
      <c r="B38" s="29" t="s">
        <v>156</v>
      </c>
      <c r="C38" s="28">
        <v>87401.15</v>
      </c>
      <c r="D38" s="28"/>
      <c r="E38" s="28"/>
      <c r="F38" s="44">
        <v>25000</v>
      </c>
      <c r="G38" s="44"/>
      <c r="H38" s="28"/>
      <c r="I38" s="28"/>
      <c r="J38" s="44"/>
      <c r="K38" s="44"/>
      <c r="L38" s="28">
        <f t="shared" si="4"/>
        <v>112401.15</v>
      </c>
      <c r="M38" s="28">
        <f>6400.16+7276.31+7363.59</f>
        <v>21040.06</v>
      </c>
      <c r="N38" s="28">
        <f t="shared" si="3"/>
        <v>91361.09</v>
      </c>
      <c r="O38" s="38">
        <f t="shared" si="5"/>
        <v>1.6504655707705897E-2</v>
      </c>
    </row>
    <row r="39" spans="1:15" ht="15.95" customHeight="1" x14ac:dyDescent="0.2">
      <c r="A39" s="41" t="s">
        <v>43</v>
      </c>
      <c r="B39" s="29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</f>
        <v>1971.8899999999999</v>
      </c>
      <c r="N39" s="28">
        <f t="shared" si="3"/>
        <v>13218.95</v>
      </c>
      <c r="O39" s="38">
        <f t="shared" si="5"/>
        <v>1.5468285519845562E-3</v>
      </c>
    </row>
    <row r="40" spans="1:15" ht="15.95" customHeight="1" x14ac:dyDescent="0.2">
      <c r="A40" s="41" t="s">
        <v>44</v>
      </c>
      <c r="B40" s="29" t="s">
        <v>45</v>
      </c>
      <c r="C40" s="28">
        <v>67581.009999999995</v>
      </c>
      <c r="D40" s="28"/>
      <c r="E40" s="28"/>
      <c r="F40" s="44">
        <v>5000</v>
      </c>
      <c r="G40" s="44"/>
      <c r="H40" s="28"/>
      <c r="I40" s="28"/>
      <c r="J40" s="44"/>
      <c r="K40" s="44"/>
      <c r="L40" s="28">
        <f t="shared" si="4"/>
        <v>72581.009999999995</v>
      </c>
      <c r="M40" s="28"/>
      <c r="N40" s="28">
        <f t="shared" si="3"/>
        <v>72581.009999999995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29" t="s">
        <v>158</v>
      </c>
      <c r="C41" s="28">
        <v>67581.009999999995</v>
      </c>
      <c r="D41" s="28"/>
      <c r="E41" s="28"/>
      <c r="F41" s="44">
        <v>5000</v>
      </c>
      <c r="G41" s="44"/>
      <c r="H41" s="28"/>
      <c r="I41" s="28"/>
      <c r="J41" s="44"/>
      <c r="K41" s="44"/>
      <c r="L41" s="28">
        <f t="shared" si="4"/>
        <v>72581.009999999995</v>
      </c>
      <c r="M41" s="28"/>
      <c r="N41" s="28">
        <f t="shared" si="3"/>
        <v>72581.009999999995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29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3"/>
        <v>5000</v>
      </c>
      <c r="O42" s="38">
        <f t="shared" si="5"/>
        <v>0</v>
      </c>
    </row>
    <row r="43" spans="1:15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29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40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29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1" si="6">C46+D46-E46+F46-G46+H46+J46-K46</f>
        <v>13750</v>
      </c>
      <c r="M46" s="28">
        <f>346.37+964.95+1334.04</f>
        <v>2645.36</v>
      </c>
      <c r="N46" s="28">
        <f t="shared" si="3"/>
        <v>11104.64</v>
      </c>
      <c r="O46" s="38">
        <f t="shared" ref="O46:O55" si="7">M46/$M$141</f>
        <v>2.0751250720262623E-3</v>
      </c>
    </row>
    <row r="47" spans="1:15" ht="15.95" customHeight="1" x14ac:dyDescent="0.2">
      <c r="A47" s="41" t="s">
        <v>92</v>
      </c>
      <c r="B47" s="29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f>7409.06+619.68+618</f>
        <v>8646.7400000000016</v>
      </c>
      <c r="N47" s="28">
        <f t="shared" si="3"/>
        <v>17453.259999999998</v>
      </c>
      <c r="O47" s="38">
        <f t="shared" si="7"/>
        <v>6.78284504388528E-3</v>
      </c>
    </row>
    <row r="48" spans="1:15" ht="15.95" customHeight="1" x14ac:dyDescent="0.2">
      <c r="A48" s="41" t="s">
        <v>93</v>
      </c>
      <c r="B48" s="29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f>469.55+470.27+568.5</f>
        <v>1508.32</v>
      </c>
      <c r="N48" s="28">
        <f t="shared" si="3"/>
        <v>491.68000000000006</v>
      </c>
      <c r="O48" s="38">
        <f t="shared" si="7"/>
        <v>1.183185898569061E-3</v>
      </c>
    </row>
    <row r="49" spans="1:15" ht="15.95" customHeight="1" x14ac:dyDescent="0.2">
      <c r="A49" s="41" t="s">
        <v>94</v>
      </c>
      <c r="B49" s="29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>
        <v>2040</v>
      </c>
      <c r="N49" s="28">
        <f t="shared" si="3"/>
        <v>5960</v>
      </c>
      <c r="O49" s="38">
        <f t="shared" si="7"/>
        <v>1.6002567313838474E-3</v>
      </c>
    </row>
    <row r="50" spans="1:15" ht="15.95" customHeight="1" x14ac:dyDescent="0.2">
      <c r="A50" s="41" t="s">
        <v>95</v>
      </c>
      <c r="B50" s="29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295.35+1954+178.7</f>
        <v>2428.0499999999997</v>
      </c>
      <c r="N50" s="28">
        <f t="shared" si="3"/>
        <v>11821.95</v>
      </c>
      <c r="O50" s="38">
        <f t="shared" si="7"/>
        <v>1.9046585081551716E-3</v>
      </c>
    </row>
    <row r="51" spans="1:15" ht="15.95" customHeight="1" x14ac:dyDescent="0.2">
      <c r="A51" s="41" t="s">
        <v>96</v>
      </c>
      <c r="B51" s="29" t="s">
        <v>161</v>
      </c>
      <c r="C51" s="28">
        <v>673088.47</v>
      </c>
      <c r="D51" s="28"/>
      <c r="E51" s="28"/>
      <c r="F51" s="44">
        <v>300000</v>
      </c>
      <c r="G51" s="44"/>
      <c r="H51" s="28"/>
      <c r="I51" s="28"/>
      <c r="J51" s="44"/>
      <c r="K51" s="44"/>
      <c r="L51" s="28">
        <f>C51+D51-E51+F51-G51+H51-I51+J51-K51</f>
        <v>973088.47</v>
      </c>
      <c r="M51" s="28">
        <f>52511.08+370815.32</f>
        <v>423326.4</v>
      </c>
      <c r="N51" s="28">
        <f t="shared" si="3"/>
        <v>549762.06999999995</v>
      </c>
      <c r="O51" s="38">
        <f t="shared" si="7"/>
        <v>0.33207398096690743</v>
      </c>
    </row>
    <row r="52" spans="1:15" ht="15.95" customHeight="1" x14ac:dyDescent="0.2">
      <c r="A52" s="41" t="s">
        <v>97</v>
      </c>
      <c r="B52" s="29" t="s">
        <v>53</v>
      </c>
      <c r="C52" s="28">
        <v>563742.69999999995</v>
      </c>
      <c r="D52" s="28"/>
      <c r="E52" s="28"/>
      <c r="F52" s="44"/>
      <c r="G52" s="44">
        <v>300000</v>
      </c>
      <c r="H52" s="28"/>
      <c r="I52" s="28"/>
      <c r="J52" s="44"/>
      <c r="K52" s="44"/>
      <c r="L52" s="28">
        <f>C52+D52-E52+F52-G52+H52+J52-K52</f>
        <v>263742.69999999995</v>
      </c>
      <c r="M52" s="28">
        <f>3740.5+87744.2+10441.24</f>
        <v>101925.94</v>
      </c>
      <c r="N52" s="28">
        <f t="shared" si="3"/>
        <v>161816.75999999995</v>
      </c>
      <c r="O52" s="38">
        <f t="shared" si="7"/>
        <v>7.9954740974326546E-2</v>
      </c>
    </row>
    <row r="53" spans="1:15" ht="15.95" customHeight="1" x14ac:dyDescent="0.2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/>
      <c r="I53" s="28"/>
      <c r="J53" s="44"/>
      <c r="K53" s="44"/>
      <c r="L53" s="28">
        <f>C53+D53-E53+F53-G53+H53+J53-K53</f>
        <v>500985.37</v>
      </c>
      <c r="M53" s="28">
        <f>48849.92+109313.99+1000</f>
        <v>159163.91</v>
      </c>
      <c r="N53" s="28">
        <f t="shared" si="3"/>
        <v>341821.45999999996</v>
      </c>
      <c r="O53" s="38">
        <f t="shared" si="7"/>
        <v>0.12485446978964355</v>
      </c>
    </row>
    <row r="54" spans="1:15" ht="15.95" customHeight="1" x14ac:dyDescent="0.2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/>
      <c r="N54" s="28">
        <f t="shared" si="3"/>
        <v>225000</v>
      </c>
      <c r="O54" s="38">
        <f t="shared" si="7"/>
        <v>0</v>
      </c>
    </row>
    <row r="55" spans="1:15" ht="15.95" customHeight="1" x14ac:dyDescent="0.2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/>
      <c r="K57" s="44"/>
      <c r="L57" s="28">
        <f t="shared" si="6"/>
        <v>4400</v>
      </c>
      <c r="M57" s="28"/>
      <c r="N57" s="28">
        <f t="shared" si="3"/>
        <v>4400</v>
      </c>
      <c r="O57" s="38">
        <f t="shared" ref="O57:O62" si="8">M57/$M$141</f>
        <v>0</v>
      </c>
    </row>
    <row r="58" spans="1:15" ht="15.95" customHeight="1" x14ac:dyDescent="0.2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 t="shared" si="8"/>
        <v>0</v>
      </c>
    </row>
    <row r="59" spans="1:15" ht="30.7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 t="shared" si="8"/>
        <v>0</v>
      </c>
    </row>
    <row r="60" spans="1:15" ht="30.7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/>
      <c r="N60" s="28">
        <f t="shared" si="3"/>
        <v>7000</v>
      </c>
      <c r="O60" s="38">
        <f t="shared" si="8"/>
        <v>0</v>
      </c>
    </row>
    <row r="61" spans="1:15" ht="30.7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 t="shared" si="8"/>
        <v>3.5299780839349572E-4</v>
      </c>
    </row>
    <row r="62" spans="1:15" ht="15.95" hidden="1" customHeight="1" x14ac:dyDescent="0.2">
      <c r="A62" s="41" t="s">
        <v>106</v>
      </c>
      <c r="B62" s="29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0</v>
      </c>
      <c r="M62" s="28"/>
      <c r="N62" s="28">
        <f t="shared" si="3"/>
        <v>0</v>
      </c>
      <c r="O62" s="38">
        <f t="shared" si="8"/>
        <v>0</v>
      </c>
    </row>
    <row r="63" spans="1:15" ht="15.95" customHeight="1" x14ac:dyDescent="0.2">
      <c r="A63" s="41">
        <v>169</v>
      </c>
      <c r="B63" s="29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6"/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>
        <v>171</v>
      </c>
      <c r="B64" s="29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28">
        <f>C64+D64-E64+F64-G64+H64+J64-I64-K64</f>
        <v>15000</v>
      </c>
      <c r="M64" s="28"/>
      <c r="N64" s="28">
        <f t="shared" si="3"/>
        <v>15000</v>
      </c>
      <c r="O64" s="38"/>
    </row>
    <row r="65" spans="1:15" ht="15.95" customHeight="1" x14ac:dyDescent="0.2">
      <c r="A65" s="41" t="s">
        <v>107</v>
      </c>
      <c r="B65" s="29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si="6"/>
        <v>30750</v>
      </c>
      <c r="M65" s="28"/>
      <c r="N65" s="28">
        <f t="shared" si="3"/>
        <v>30750</v>
      </c>
      <c r="O65" s="38">
        <f>M65/$M$141</f>
        <v>0</v>
      </c>
    </row>
    <row r="66" spans="1:15" ht="30.75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28">
        <f t="shared" si="6"/>
        <v>20000</v>
      </c>
      <c r="M66" s="28">
        <v>4000</v>
      </c>
      <c r="N66" s="28">
        <f t="shared" si="3"/>
        <v>16000</v>
      </c>
      <c r="O66" s="38"/>
    </row>
    <row r="67" spans="1:15" ht="31.5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260706.83</v>
      </c>
      <c r="M67" s="28"/>
      <c r="N67" s="28">
        <f t="shared" si="3"/>
        <v>260706.83</v>
      </c>
      <c r="O67" s="38">
        <f t="shared" ref="O67:O81" si="9">M67/$M$141</f>
        <v>0</v>
      </c>
    </row>
    <row r="68" spans="1:15" ht="15.95" customHeight="1" x14ac:dyDescent="0.2">
      <c r="A68" s="41">
        <v>182</v>
      </c>
      <c r="B68" s="29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6"/>
        <v>10000</v>
      </c>
      <c r="M68" s="28"/>
      <c r="N68" s="28">
        <f t="shared" si="3"/>
        <v>10000</v>
      </c>
      <c r="O68" s="38">
        <f t="shared" si="9"/>
        <v>0</v>
      </c>
    </row>
    <row r="69" spans="1:15" ht="15.95" customHeight="1" x14ac:dyDescent="0.2">
      <c r="A69" s="41" t="s">
        <v>109</v>
      </c>
      <c r="B69" s="29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28">
        <f t="shared" si="6"/>
        <v>60000</v>
      </c>
      <c r="M69" s="28">
        <v>1018.44</v>
      </c>
      <c r="N69" s="28">
        <f t="shared" si="3"/>
        <v>58981.56</v>
      </c>
      <c r="O69" s="38">
        <f t="shared" si="9"/>
        <v>7.9890463995615959E-4</v>
      </c>
    </row>
    <row r="70" spans="1:15" ht="32.25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28">
        <f t="shared" si="6"/>
        <v>144000</v>
      </c>
      <c r="M70" s="28">
        <f>4500+4500+4500</f>
        <v>13500</v>
      </c>
      <c r="N70" s="28">
        <f t="shared" si="3"/>
        <v>130500</v>
      </c>
      <c r="O70" s="38">
        <f t="shared" si="9"/>
        <v>1.0589934251804873E-2</v>
      </c>
    </row>
    <row r="71" spans="1:15" ht="15.95" customHeight="1" x14ac:dyDescent="0.2">
      <c r="A71" s="41" t="s">
        <v>111</v>
      </c>
      <c r="B71" s="29" t="s">
        <v>57</v>
      </c>
      <c r="C71" s="28">
        <v>7500</v>
      </c>
      <c r="D71" s="28"/>
      <c r="E71" s="28"/>
      <c r="F71" s="44"/>
      <c r="G71" s="44"/>
      <c r="H71" s="28"/>
      <c r="I71" s="28"/>
      <c r="J71" s="44"/>
      <c r="K71" s="44"/>
      <c r="L71" s="28">
        <f t="shared" si="6"/>
        <v>7500</v>
      </c>
      <c r="M71" s="28">
        <f>235.2+352.8</f>
        <v>588</v>
      </c>
      <c r="N71" s="28">
        <f t="shared" si="3"/>
        <v>6912</v>
      </c>
      <c r="O71" s="38">
        <f t="shared" si="9"/>
        <v>4.6125046963416778E-4</v>
      </c>
    </row>
    <row r="72" spans="1:15" ht="30.75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6"/>
        <v>24540</v>
      </c>
      <c r="M72" s="28"/>
      <c r="N72" s="28">
        <f t="shared" si="3"/>
        <v>24540</v>
      </c>
      <c r="O72" s="38">
        <f t="shared" si="9"/>
        <v>0</v>
      </c>
    </row>
    <row r="73" spans="1:15" ht="15.95" customHeight="1" x14ac:dyDescent="0.2">
      <c r="A73" s="41" t="s">
        <v>113</v>
      </c>
      <c r="B73" s="29" t="s">
        <v>173</v>
      </c>
      <c r="C73" s="28">
        <v>863300</v>
      </c>
      <c r="D73" s="28"/>
      <c r="E73" s="28"/>
      <c r="F73" s="44"/>
      <c r="G73" s="44"/>
      <c r="H73" s="28"/>
      <c r="I73" s="28"/>
      <c r="J73" s="44"/>
      <c r="K73" s="44"/>
      <c r="L73" s="28">
        <f>C73+D73-E73+F73-G73+H73-I73+J73-K73</f>
        <v>863300</v>
      </c>
      <c r="M73" s="28">
        <f>93776.76+70259.49+71194.06</f>
        <v>235230.31</v>
      </c>
      <c r="N73" s="28">
        <f t="shared" si="3"/>
        <v>628069.68999999994</v>
      </c>
      <c r="O73" s="38">
        <f t="shared" si="9"/>
        <v>0.18452396421716136</v>
      </c>
    </row>
    <row r="74" spans="1:15" ht="15.95" customHeight="1" x14ac:dyDescent="0.2">
      <c r="A74" s="41" t="s">
        <v>114</v>
      </c>
      <c r="B74" s="29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 t="shared" si="6"/>
        <v>8000</v>
      </c>
      <c r="M74" s="28"/>
      <c r="N74" s="28">
        <f t="shared" si="3"/>
        <v>8000</v>
      </c>
      <c r="O74" s="38">
        <f t="shared" si="9"/>
        <v>0</v>
      </c>
    </row>
    <row r="75" spans="1:15" ht="15.95" customHeight="1" x14ac:dyDescent="0.2">
      <c r="A75" s="41" t="s">
        <v>115</v>
      </c>
      <c r="B75" s="29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28">
        <f>C75+D75-E75+F75-G75+H75+J75-I75-K75</f>
        <v>130000</v>
      </c>
      <c r="M75" s="28"/>
      <c r="N75" s="28">
        <f t="shared" si="3"/>
        <v>130000</v>
      </c>
      <c r="O75" s="38">
        <f t="shared" si="9"/>
        <v>0</v>
      </c>
    </row>
    <row r="76" spans="1:15" ht="15.95" customHeight="1" x14ac:dyDescent="0.2">
      <c r="A76" s="41" t="s">
        <v>116</v>
      </c>
      <c r="B76" s="29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8250</v>
      </c>
      <c r="M76" s="28">
        <v>911.4</v>
      </c>
      <c r="N76" s="28">
        <f t="shared" si="3"/>
        <v>7338.6</v>
      </c>
      <c r="O76" s="38">
        <f t="shared" si="9"/>
        <v>7.1493822793295997E-4</v>
      </c>
    </row>
    <row r="77" spans="1:15" ht="15.95" customHeight="1" x14ac:dyDescent="0.2">
      <c r="A77" s="41" t="s">
        <v>117</v>
      </c>
      <c r="B77" s="29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2500</v>
      </c>
      <c r="M77" s="28">
        <f>50+56.72+130.7</f>
        <v>237.42</v>
      </c>
      <c r="N77" s="28">
        <f t="shared" si="3"/>
        <v>2262.58</v>
      </c>
      <c r="O77" s="38">
        <f t="shared" si="9"/>
        <v>1.8624164370840835E-4</v>
      </c>
    </row>
    <row r="78" spans="1:15" ht="15.95" customHeight="1" x14ac:dyDescent="0.2">
      <c r="A78" s="41" t="s">
        <v>118</v>
      </c>
      <c r="B78" s="29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 t="shared" si="6"/>
        <v>125000</v>
      </c>
      <c r="M78" s="28">
        <f>10+30+10.2</f>
        <v>50.2</v>
      </c>
      <c r="N78" s="28">
        <f t="shared" si="3"/>
        <v>124949.8</v>
      </c>
      <c r="O78" s="38">
        <f t="shared" si="9"/>
        <v>3.9378866625229974E-5</v>
      </c>
    </row>
    <row r="79" spans="1:15" ht="15.95" customHeight="1" x14ac:dyDescent="0.2">
      <c r="A79" s="41" t="s">
        <v>119</v>
      </c>
      <c r="B79" s="29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 t="shared" ref="L79:L80" si="10">C79+D79-E79+F79-G79+H79+J79-I79-K79</f>
        <v>50000</v>
      </c>
      <c r="M79" s="28"/>
      <c r="N79" s="28">
        <f t="shared" si="3"/>
        <v>50000</v>
      </c>
      <c r="O79" s="38">
        <f t="shared" si="9"/>
        <v>0</v>
      </c>
    </row>
    <row r="80" spans="1:15" ht="15.95" customHeight="1" x14ac:dyDescent="0.2">
      <c r="A80" s="41" t="s">
        <v>178</v>
      </c>
      <c r="B80" s="29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 t="shared" si="10"/>
        <v>46100</v>
      </c>
      <c r="M80" s="28"/>
      <c r="N80" s="28">
        <f t="shared" si="3"/>
        <v>46100</v>
      </c>
      <c r="O80" s="38">
        <f t="shared" si="9"/>
        <v>0</v>
      </c>
    </row>
    <row r="81" spans="1:15" ht="15.95" customHeight="1" x14ac:dyDescent="0.2">
      <c r="A81" s="41" t="s">
        <v>120</v>
      </c>
      <c r="B81" s="29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 t="shared" si="6"/>
        <v>51000</v>
      </c>
      <c r="M81" s="28">
        <v>440</v>
      </c>
      <c r="N81" s="28">
        <f t="shared" si="3"/>
        <v>50560</v>
      </c>
      <c r="O81" s="38">
        <f t="shared" si="9"/>
        <v>3.4515341265141803E-4</v>
      </c>
    </row>
    <row r="82" spans="1:15" ht="15.95" customHeight="1" x14ac:dyDescent="0.2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29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40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29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121" si="11">C85+D85-E85+F85-G85+H85+J85-K85</f>
        <v>146784.1</v>
      </c>
      <c r="M85" s="28">
        <f>2380.7+754.5+12765.2</f>
        <v>15900.400000000001</v>
      </c>
      <c r="N85" s="28">
        <f t="shared" si="3"/>
        <v>130883.70000000001</v>
      </c>
      <c r="O85" s="38">
        <f t="shared" ref="O85:O121" si="12">M85/$M$141</f>
        <v>1.2472903005733201E-2</v>
      </c>
    </row>
    <row r="86" spans="1:15" ht="15.95" hidden="1" customHeight="1" x14ac:dyDescent="0.2">
      <c r="A86" s="41">
        <v>214</v>
      </c>
      <c r="B86" s="29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1"/>
        <v>0</v>
      </c>
      <c r="M86" s="28"/>
      <c r="N86" s="28">
        <f t="shared" si="3"/>
        <v>0</v>
      </c>
      <c r="O86" s="38">
        <f t="shared" si="12"/>
        <v>0</v>
      </c>
    </row>
    <row r="87" spans="1:15" ht="15.95" customHeight="1" x14ac:dyDescent="0.2">
      <c r="A87" s="41">
        <v>223</v>
      </c>
      <c r="B87" s="29" t="s">
        <v>192</v>
      </c>
      <c r="C87" s="28">
        <v>2000</v>
      </c>
      <c r="D87" s="28"/>
      <c r="E87" s="28"/>
      <c r="F87" s="44"/>
      <c r="G87" s="44"/>
      <c r="H87" s="28"/>
      <c r="I87" s="28"/>
      <c r="J87" s="44"/>
      <c r="K87" s="44"/>
      <c r="L87" s="28">
        <f t="shared" si="11"/>
        <v>2000</v>
      </c>
      <c r="M87" s="28"/>
      <c r="N87" s="28">
        <f t="shared" si="3"/>
        <v>2000</v>
      </c>
      <c r="O87" s="38">
        <f t="shared" si="12"/>
        <v>0</v>
      </c>
    </row>
    <row r="88" spans="1:15" ht="15.95" hidden="1" customHeight="1" x14ac:dyDescent="0.2">
      <c r="A88" s="41">
        <v>229</v>
      </c>
      <c r="B88" s="29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1"/>
        <v>0</v>
      </c>
      <c r="M88" s="28"/>
      <c r="N88" s="28">
        <f t="shared" si="3"/>
        <v>0</v>
      </c>
      <c r="O88" s="38">
        <f t="shared" si="12"/>
        <v>0</v>
      </c>
    </row>
    <row r="89" spans="1:15" ht="15.95" customHeight="1" x14ac:dyDescent="0.2">
      <c r="A89" s="41" t="s">
        <v>122</v>
      </c>
      <c r="B89" s="29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1"/>
        <v>5000</v>
      </c>
      <c r="M89" s="28">
        <f>94.99+48</f>
        <v>142.99</v>
      </c>
      <c r="N89" s="28">
        <f t="shared" si="3"/>
        <v>4857.01</v>
      </c>
      <c r="O89" s="38">
        <f t="shared" si="12"/>
        <v>1.121670147159688E-4</v>
      </c>
    </row>
    <row r="90" spans="1:15" ht="15.95" customHeight="1" x14ac:dyDescent="0.2">
      <c r="A90" s="41" t="s">
        <v>123</v>
      </c>
      <c r="B90" s="29" t="s">
        <v>63</v>
      </c>
      <c r="C90" s="28">
        <v>33800</v>
      </c>
      <c r="D90" s="28"/>
      <c r="E90" s="28"/>
      <c r="F90" s="44"/>
      <c r="G90" s="44"/>
      <c r="H90" s="28"/>
      <c r="I90" s="28"/>
      <c r="J90" s="44"/>
      <c r="K90" s="44"/>
      <c r="L90" s="28">
        <f t="shared" si="11"/>
        <v>33800</v>
      </c>
      <c r="M90" s="28"/>
      <c r="N90" s="28">
        <f t="shared" si="3"/>
        <v>33800</v>
      </c>
      <c r="O90" s="38">
        <f t="shared" si="12"/>
        <v>0</v>
      </c>
    </row>
    <row r="91" spans="1:15" ht="15.95" customHeight="1" x14ac:dyDescent="0.2">
      <c r="A91" s="41" t="s">
        <v>124</v>
      </c>
      <c r="B91" s="29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 t="shared" ref="L91" si="13">C91+D91-E91+F91-G91+H91+J91-I91-K91</f>
        <v>5250</v>
      </c>
      <c r="M91" s="28">
        <f>439+446.2+360</f>
        <v>1245.2</v>
      </c>
      <c r="N91" s="28">
        <f t="shared" si="3"/>
        <v>4004.8</v>
      </c>
      <c r="O91" s="38">
        <f t="shared" si="12"/>
        <v>9.7678415780351317E-4</v>
      </c>
    </row>
    <row r="92" spans="1:15" ht="15.95" customHeight="1" x14ac:dyDescent="0.2">
      <c r="A92" s="41" t="s">
        <v>125</v>
      </c>
      <c r="B92" s="29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 t="shared" si="11"/>
        <v>10500</v>
      </c>
      <c r="M92" s="28">
        <f>970+65.15+174.99</f>
        <v>1210.1400000000001</v>
      </c>
      <c r="N92" s="28">
        <f t="shared" si="3"/>
        <v>9289.86</v>
      </c>
      <c r="O92" s="38">
        <f t="shared" si="12"/>
        <v>9.492817063317888E-4</v>
      </c>
    </row>
    <row r="93" spans="1:15" ht="15.95" customHeight="1" x14ac:dyDescent="0.2">
      <c r="A93" s="41" t="s">
        <v>126</v>
      </c>
      <c r="B93" s="29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 t="shared" ref="L93" si="14">C93+D93-E93+F93-G93+H93+J93-I93-K93</f>
        <v>3050</v>
      </c>
      <c r="M93" s="28">
        <f>394.5+294.3</f>
        <v>688.8</v>
      </c>
      <c r="N93" s="28">
        <f t="shared" si="3"/>
        <v>2361.1999999999998</v>
      </c>
      <c r="O93" s="38">
        <f t="shared" si="12"/>
        <v>5.4032197871431073E-4</v>
      </c>
    </row>
    <row r="94" spans="1:15" ht="15.95" customHeight="1" x14ac:dyDescent="0.2">
      <c r="A94" s="41" t="s">
        <v>127</v>
      </c>
      <c r="B94" s="29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si="11"/>
        <v>875</v>
      </c>
      <c r="M94" s="28"/>
      <c r="N94" s="28">
        <f t="shared" si="3"/>
        <v>875</v>
      </c>
      <c r="O94" s="38">
        <f t="shared" si="12"/>
        <v>0</v>
      </c>
    </row>
    <row r="95" spans="1:15" ht="15.95" customHeight="1" x14ac:dyDescent="0.2">
      <c r="A95" s="41" t="s">
        <v>128</v>
      </c>
      <c r="B95" s="29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1"/>
        <v>5500</v>
      </c>
      <c r="M95" s="28"/>
      <c r="N95" s="28">
        <f t="shared" si="3"/>
        <v>5500</v>
      </c>
      <c r="O95" s="38">
        <f t="shared" si="12"/>
        <v>0</v>
      </c>
    </row>
    <row r="96" spans="1:15" ht="15.95" customHeight="1" x14ac:dyDescent="0.2">
      <c r="A96" s="41" t="s">
        <v>129</v>
      </c>
      <c r="B96" s="29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1"/>
        <v>2700</v>
      </c>
      <c r="M96" s="28">
        <v>527.45000000000005</v>
      </c>
      <c r="N96" s="28">
        <f t="shared" si="3"/>
        <v>2172.5500000000002</v>
      </c>
      <c r="O96" s="38">
        <f t="shared" si="12"/>
        <v>4.1375265341588746E-4</v>
      </c>
    </row>
    <row r="97" spans="1:15" ht="15.95" customHeight="1" x14ac:dyDescent="0.2">
      <c r="A97" s="41" t="s">
        <v>196</v>
      </c>
      <c r="B97" s="29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1"/>
        <v>2800</v>
      </c>
      <c r="M97" s="28">
        <f>89+40</f>
        <v>129</v>
      </c>
      <c r="N97" s="28">
        <f t="shared" si="3"/>
        <v>2671</v>
      </c>
      <c r="O97" s="38">
        <f t="shared" si="12"/>
        <v>1.0119270507280211E-4</v>
      </c>
    </row>
    <row r="98" spans="1:15" ht="15.95" customHeight="1" x14ac:dyDescent="0.2">
      <c r="A98" s="41" t="s">
        <v>130</v>
      </c>
      <c r="B98" s="29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1"/>
        <v>8500</v>
      </c>
      <c r="M98" s="28">
        <f>687.48+165+140</f>
        <v>992.48</v>
      </c>
      <c r="N98" s="28">
        <f t="shared" si="3"/>
        <v>7507.52</v>
      </c>
      <c r="O98" s="38">
        <f t="shared" si="12"/>
        <v>7.7854058860972594E-4</v>
      </c>
    </row>
    <row r="99" spans="1:15" ht="15.95" customHeight="1" x14ac:dyDescent="0.2">
      <c r="A99" s="41" t="s">
        <v>131</v>
      </c>
      <c r="B99" s="29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1"/>
        <v>6000</v>
      </c>
      <c r="M99" s="28">
        <v>342.5</v>
      </c>
      <c r="N99" s="28">
        <f t="shared" si="3"/>
        <v>5657.5</v>
      </c>
      <c r="O99" s="38">
        <f t="shared" si="12"/>
        <v>2.6867055416616065E-4</v>
      </c>
    </row>
    <row r="100" spans="1:15" ht="15.95" customHeight="1" x14ac:dyDescent="0.2">
      <c r="A100" s="41" t="s">
        <v>132</v>
      </c>
      <c r="B100" s="29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/>
      <c r="K100" s="44"/>
      <c r="L100" s="28">
        <f t="shared" si="11"/>
        <v>17500</v>
      </c>
      <c r="M100" s="28">
        <v>862.5</v>
      </c>
      <c r="N100" s="28">
        <f t="shared" si="3"/>
        <v>16637.5</v>
      </c>
      <c r="O100" s="38">
        <f t="shared" si="12"/>
        <v>6.7657913275420017E-4</v>
      </c>
    </row>
    <row r="101" spans="1:15" ht="15.95" customHeight="1" x14ac:dyDescent="0.2">
      <c r="A101" s="41" t="s">
        <v>133</v>
      </c>
      <c r="B101" s="29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1"/>
        <v>3000</v>
      </c>
      <c r="M101" s="28">
        <f>691.35+274.07+29.5</f>
        <v>994.92000000000007</v>
      </c>
      <c r="N101" s="28">
        <f t="shared" si="3"/>
        <v>2005.08</v>
      </c>
      <c r="O101" s="38">
        <f t="shared" si="12"/>
        <v>7.8045462117079295E-4</v>
      </c>
    </row>
    <row r="102" spans="1:15" ht="15.95" customHeight="1" x14ac:dyDescent="0.2">
      <c r="A102" s="41" t="s">
        <v>134</v>
      </c>
      <c r="B102" s="29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1"/>
        <v>1500</v>
      </c>
      <c r="M102" s="28"/>
      <c r="N102" s="28">
        <f t="shared" ref="N102:N140" si="15">L102-M102</f>
        <v>1500</v>
      </c>
      <c r="O102" s="38">
        <f t="shared" si="12"/>
        <v>0</v>
      </c>
    </row>
    <row r="103" spans="1:15" ht="15.95" customHeight="1" x14ac:dyDescent="0.2">
      <c r="A103" s="41" t="s">
        <v>135</v>
      </c>
      <c r="B103" s="29" t="s">
        <v>70</v>
      </c>
      <c r="C103" s="28">
        <v>181653.08</v>
      </c>
      <c r="D103" s="28"/>
      <c r="E103" s="28"/>
      <c r="F103" s="44"/>
      <c r="G103" s="44"/>
      <c r="H103" s="28"/>
      <c r="I103" s="28"/>
      <c r="J103" s="44"/>
      <c r="K103" s="44"/>
      <c r="L103" s="28">
        <f t="shared" si="11"/>
        <v>181653.08</v>
      </c>
      <c r="M103" s="28"/>
      <c r="N103" s="28">
        <f t="shared" si="15"/>
        <v>181653.08</v>
      </c>
      <c r="O103" s="38">
        <f t="shared" si="12"/>
        <v>0</v>
      </c>
    </row>
    <row r="104" spans="1:15" ht="15.95" hidden="1" customHeight="1" x14ac:dyDescent="0.2">
      <c r="A104" s="41">
        <v>272</v>
      </c>
      <c r="B104" s="29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1"/>
        <v>0</v>
      </c>
      <c r="M104" s="28"/>
      <c r="N104" s="28">
        <f t="shared" si="15"/>
        <v>0</v>
      </c>
      <c r="O104" s="38">
        <f t="shared" si="12"/>
        <v>0</v>
      </c>
    </row>
    <row r="105" spans="1:15" ht="15.95" hidden="1" customHeight="1" x14ac:dyDescent="0.2">
      <c r="A105" s="41" t="s">
        <v>136</v>
      </c>
      <c r="B105" s="29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1"/>
        <v>0</v>
      </c>
      <c r="M105" s="28"/>
      <c r="N105" s="28">
        <f t="shared" si="15"/>
        <v>0</v>
      </c>
      <c r="O105" s="38">
        <f t="shared" si="12"/>
        <v>0</v>
      </c>
    </row>
    <row r="106" spans="1:15" ht="15.95" customHeight="1" x14ac:dyDescent="0.2">
      <c r="A106" s="41">
        <v>274</v>
      </c>
      <c r="B106" s="29" t="s">
        <v>71</v>
      </c>
      <c r="C106" s="28">
        <v>1500</v>
      </c>
      <c r="D106" s="28"/>
      <c r="E106" s="28"/>
      <c r="F106" s="44"/>
      <c r="G106" s="44"/>
      <c r="H106" s="28"/>
      <c r="I106" s="28"/>
      <c r="J106" s="44"/>
      <c r="K106" s="44"/>
      <c r="L106" s="28">
        <f t="shared" si="11"/>
        <v>1500</v>
      </c>
      <c r="M106" s="28"/>
      <c r="N106" s="28">
        <f t="shared" si="15"/>
        <v>1500</v>
      </c>
      <c r="O106" s="38">
        <f t="shared" si="12"/>
        <v>0</v>
      </c>
    </row>
    <row r="107" spans="1:15" ht="15.95" hidden="1" customHeight="1" x14ac:dyDescent="0.2">
      <c r="A107" s="41">
        <v>275</v>
      </c>
      <c r="B107" s="29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1"/>
        <v>0</v>
      </c>
      <c r="M107" s="28"/>
      <c r="N107" s="28">
        <f t="shared" si="15"/>
        <v>0</v>
      </c>
      <c r="O107" s="38">
        <f t="shared" si="12"/>
        <v>0</v>
      </c>
    </row>
    <row r="108" spans="1:15" ht="15.95" customHeight="1" x14ac:dyDescent="0.2">
      <c r="A108" s="41">
        <v>279</v>
      </c>
      <c r="B108" s="29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1"/>
        <v>750</v>
      </c>
      <c r="M108" s="28"/>
      <c r="N108" s="28">
        <f t="shared" si="15"/>
        <v>750</v>
      </c>
      <c r="O108" s="38">
        <f t="shared" si="12"/>
        <v>0</v>
      </c>
    </row>
    <row r="109" spans="1:15" ht="15.95" hidden="1" customHeight="1" x14ac:dyDescent="0.2">
      <c r="A109" s="41">
        <v>281</v>
      </c>
      <c r="B109" s="29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1"/>
        <v>0</v>
      </c>
      <c r="M109" s="28"/>
      <c r="N109" s="28">
        <f t="shared" si="15"/>
        <v>0</v>
      </c>
      <c r="O109" s="38">
        <f t="shared" si="12"/>
        <v>0</v>
      </c>
    </row>
    <row r="110" spans="1:15" ht="15.95" customHeight="1" x14ac:dyDescent="0.2">
      <c r="A110" s="41" t="s">
        <v>137</v>
      </c>
      <c r="B110" s="29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1"/>
        <v>4800</v>
      </c>
      <c r="M110" s="28">
        <f>31.6+60.84</f>
        <v>92.44</v>
      </c>
      <c r="N110" s="28">
        <f t="shared" si="15"/>
        <v>4707.5600000000004</v>
      </c>
      <c r="O110" s="38">
        <f t="shared" si="12"/>
        <v>7.2513594239766106E-5</v>
      </c>
    </row>
    <row r="111" spans="1:15" ht="15.95" customHeight="1" x14ac:dyDescent="0.2">
      <c r="A111" s="41" t="s">
        <v>138</v>
      </c>
      <c r="B111" s="29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1"/>
        <v>28800</v>
      </c>
      <c r="M111" s="28"/>
      <c r="N111" s="28">
        <f t="shared" si="15"/>
        <v>28800</v>
      </c>
      <c r="O111" s="38">
        <f t="shared" si="12"/>
        <v>0</v>
      </c>
    </row>
    <row r="112" spans="1:15" ht="15.95" customHeight="1" x14ac:dyDescent="0.2">
      <c r="A112" s="41" t="s">
        <v>139</v>
      </c>
      <c r="B112" s="29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/>
      <c r="N112" s="28">
        <f t="shared" si="15"/>
        <v>1300000</v>
      </c>
      <c r="O112" s="38">
        <f t="shared" si="12"/>
        <v>0</v>
      </c>
    </row>
    <row r="113" spans="1:15" ht="15.95" customHeight="1" x14ac:dyDescent="0.2">
      <c r="A113" s="41">
        <v>286</v>
      </c>
      <c r="B113" s="29" t="s">
        <v>207</v>
      </c>
      <c r="C113" s="28">
        <v>1500</v>
      </c>
      <c r="D113" s="28"/>
      <c r="E113" s="28"/>
      <c r="F113" s="44"/>
      <c r="G113" s="44"/>
      <c r="H113" s="28"/>
      <c r="I113" s="28"/>
      <c r="J113" s="44"/>
      <c r="K113" s="44"/>
      <c r="L113" s="28">
        <f t="shared" si="11"/>
        <v>1500</v>
      </c>
      <c r="M113" s="28">
        <v>118</v>
      </c>
      <c r="N113" s="28">
        <f t="shared" si="15"/>
        <v>1382</v>
      </c>
      <c r="O113" s="38">
        <f t="shared" si="12"/>
        <v>9.256386975651666E-5</v>
      </c>
    </row>
    <row r="114" spans="1:15" ht="15.95" hidden="1" customHeight="1" x14ac:dyDescent="0.2">
      <c r="A114" s="41">
        <v>289</v>
      </c>
      <c r="B114" s="29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1"/>
        <v>0</v>
      </c>
      <c r="M114" s="28"/>
      <c r="N114" s="28">
        <f t="shared" si="15"/>
        <v>0</v>
      </c>
      <c r="O114" s="38">
        <f t="shared" si="12"/>
        <v>0</v>
      </c>
    </row>
    <row r="115" spans="1:15" ht="15.95" customHeight="1" x14ac:dyDescent="0.2">
      <c r="A115" s="41" t="s">
        <v>140</v>
      </c>
      <c r="B115" s="29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1"/>
        <v>6600</v>
      </c>
      <c r="M115" s="28">
        <f>170.3+371+88.55</f>
        <v>629.84999999999991</v>
      </c>
      <c r="N115" s="28">
        <f t="shared" si="15"/>
        <v>5970.15</v>
      </c>
      <c r="O115" s="38">
        <f t="shared" si="12"/>
        <v>4.940792658147628E-4</v>
      </c>
    </row>
    <row r="116" spans="1:15" ht="30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1"/>
        <v>4000</v>
      </c>
      <c r="M116" s="28">
        <f>274.1+117.25+110.65</f>
        <v>502</v>
      </c>
      <c r="N116" s="28">
        <f t="shared" si="15"/>
        <v>3498</v>
      </c>
      <c r="O116" s="38">
        <f t="shared" si="12"/>
        <v>3.937886662522997E-4</v>
      </c>
    </row>
    <row r="117" spans="1:15" ht="15.95" customHeight="1" x14ac:dyDescent="0.2">
      <c r="A117" s="41" t="s">
        <v>142</v>
      </c>
      <c r="B117" s="29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1"/>
        <v>25251.9</v>
      </c>
      <c r="M117" s="28">
        <v>4500</v>
      </c>
      <c r="N117" s="28">
        <f t="shared" si="15"/>
        <v>20751.900000000001</v>
      </c>
      <c r="O117" s="38">
        <f t="shared" si="12"/>
        <v>3.5299780839349575E-3</v>
      </c>
    </row>
    <row r="118" spans="1:15" ht="15.95" customHeight="1" x14ac:dyDescent="0.2">
      <c r="A118" s="41" t="s">
        <v>143</v>
      </c>
      <c r="B118" s="29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1"/>
        <v>2000</v>
      </c>
      <c r="M118" s="28"/>
      <c r="N118" s="28">
        <f t="shared" si="15"/>
        <v>2000</v>
      </c>
      <c r="O118" s="38">
        <f t="shared" si="12"/>
        <v>0</v>
      </c>
    </row>
    <row r="119" spans="1:15" ht="32.25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/>
      <c r="I119" s="28"/>
      <c r="J119" s="44"/>
      <c r="K119" s="44"/>
      <c r="L119" s="28">
        <f t="shared" si="11"/>
        <v>9500</v>
      </c>
      <c r="M119" s="28"/>
      <c r="N119" s="28">
        <f t="shared" si="15"/>
        <v>9500</v>
      </c>
      <c r="O119" s="38">
        <f t="shared" si="12"/>
        <v>0</v>
      </c>
    </row>
    <row r="120" spans="1:15" ht="15.95" customHeight="1" x14ac:dyDescent="0.2">
      <c r="A120" s="41" t="s">
        <v>145</v>
      </c>
      <c r="B120" s="29" t="s">
        <v>77</v>
      </c>
      <c r="C120" s="28">
        <v>76000</v>
      </c>
      <c r="D120" s="28"/>
      <c r="E120" s="28"/>
      <c r="F120" s="44"/>
      <c r="G120" s="44"/>
      <c r="H120" s="28"/>
      <c r="I120" s="28"/>
      <c r="J120" s="44"/>
      <c r="K120" s="44"/>
      <c r="L120" s="28">
        <f t="shared" si="11"/>
        <v>76000</v>
      </c>
      <c r="M120" s="28"/>
      <c r="N120" s="28">
        <f t="shared" si="15"/>
        <v>76000</v>
      </c>
      <c r="O120" s="38">
        <f t="shared" si="12"/>
        <v>0</v>
      </c>
    </row>
    <row r="121" spans="1:15" ht="15.95" customHeight="1" x14ac:dyDescent="0.2">
      <c r="A121" s="41" t="s">
        <v>146</v>
      </c>
      <c r="B121" s="29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1"/>
        <v>9500</v>
      </c>
      <c r="M121" s="28">
        <f>256.15+122.2</f>
        <v>378.34999999999997</v>
      </c>
      <c r="N121" s="28">
        <f t="shared" si="15"/>
        <v>9121.65</v>
      </c>
      <c r="O121" s="38">
        <f t="shared" si="12"/>
        <v>2.9679271290150913E-4</v>
      </c>
    </row>
    <row r="122" spans="1:15" ht="15.95" customHeight="1" x14ac:dyDescent="0.2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29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40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43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1" si="16">C126+D126-E126+F126-G126+H126+J126-K126</f>
        <v>10000</v>
      </c>
      <c r="M126" s="28"/>
      <c r="N126" s="28">
        <f t="shared" si="15"/>
        <v>10000</v>
      </c>
      <c r="O126" s="38">
        <f>M126/$M$141</f>
        <v>0</v>
      </c>
    </row>
    <row r="127" spans="1:15" ht="15.95" hidden="1" customHeight="1" x14ac:dyDescent="0.2">
      <c r="A127" s="42" t="s">
        <v>80</v>
      </c>
      <c r="B127" s="43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6"/>
        <v>0</v>
      </c>
      <c r="M127" s="28"/>
      <c r="N127" s="28">
        <f t="shared" si="15"/>
        <v>0</v>
      </c>
      <c r="O127" s="38">
        <f>M127/$M$141</f>
        <v>0</v>
      </c>
    </row>
    <row r="128" spans="1:15" ht="15.95" customHeight="1" x14ac:dyDescent="0.2">
      <c r="A128" s="42" t="s">
        <v>214</v>
      </c>
      <c r="B128" s="43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6"/>
        <v>304035</v>
      </c>
      <c r="M128" s="28"/>
      <c r="N128" s="28">
        <f t="shared" si="15"/>
        <v>304035</v>
      </c>
      <c r="O128" s="38">
        <f>M128/$M$141</f>
        <v>0</v>
      </c>
    </row>
    <row r="129" spans="1:15" ht="15.95" customHeight="1" x14ac:dyDescent="0.2">
      <c r="A129" s="42" t="s">
        <v>216</v>
      </c>
      <c r="B129" s="43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28">
        <f t="shared" si="16"/>
        <v>1500</v>
      </c>
      <c r="M129" s="28"/>
      <c r="N129" s="28">
        <f t="shared" si="15"/>
        <v>1500</v>
      </c>
      <c r="O129" s="38">
        <f>M129/$M$141</f>
        <v>0</v>
      </c>
    </row>
    <row r="130" spans="1:15" ht="15.95" customHeight="1" x14ac:dyDescent="0.2">
      <c r="A130" s="42">
        <v>328</v>
      </c>
      <c r="B130" s="43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6"/>
        <v>40000</v>
      </c>
      <c r="M130" s="28"/>
      <c r="N130" s="28">
        <f t="shared" si="15"/>
        <v>40000</v>
      </c>
      <c r="O130" s="38">
        <f>+M130/M141</f>
        <v>0</v>
      </c>
    </row>
    <row r="131" spans="1:15" ht="15.95" customHeight="1" x14ac:dyDescent="0.2">
      <c r="A131" s="42" t="s">
        <v>218</v>
      </c>
      <c r="B131" s="43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6"/>
        <v>14300</v>
      </c>
      <c r="M131" s="28"/>
      <c r="N131" s="28">
        <f t="shared" si="15"/>
        <v>14300</v>
      </c>
      <c r="O131" s="38">
        <f>M131/$M$141</f>
        <v>0</v>
      </c>
    </row>
    <row r="132" spans="1:15" ht="15.95" hidden="1" customHeight="1" x14ac:dyDescent="0.2">
      <c r="A132" s="42" t="s">
        <v>220</v>
      </c>
      <c r="B132" s="43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ref="L132" si="17">C132+D132-E132+F132-G132+J132-K132</f>
        <v>0</v>
      </c>
      <c r="M132" s="28"/>
      <c r="N132" s="28">
        <f t="shared" si="15"/>
        <v>0</v>
      </c>
      <c r="O132" s="38">
        <f>M132/$M$141</f>
        <v>0</v>
      </c>
    </row>
    <row r="133" spans="1:15" ht="15.95" customHeight="1" x14ac:dyDescent="0.2">
      <c r="A133" s="42"/>
      <c r="B133" s="43"/>
      <c r="C133" s="44"/>
      <c r="D133" s="28"/>
      <c r="E133" s="28"/>
      <c r="F133" s="44"/>
      <c r="G133" s="44"/>
      <c r="H133" s="28"/>
      <c r="I133" s="28"/>
      <c r="J133" s="44"/>
      <c r="K133" s="44"/>
      <c r="L133" s="28"/>
      <c r="M133" s="28"/>
      <c r="N133" s="28"/>
      <c r="O133" s="38"/>
    </row>
    <row r="134" spans="1:15" ht="15.95" customHeight="1" x14ac:dyDescent="0.2">
      <c r="A134" s="41"/>
      <c r="B134" s="29"/>
      <c r="C134" s="28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5">
      <c r="A135" s="39">
        <v>4</v>
      </c>
      <c r="B135" s="40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">
      <c r="A136" s="41" t="s">
        <v>222</v>
      </c>
      <c r="B136" s="29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28">
        <f t="shared" ref="L136:L137" si="18">C136+D136-E136+F136-G136+H136+J136-K136</f>
        <v>185900</v>
      </c>
      <c r="M136" s="28"/>
      <c r="N136" s="28">
        <f t="shared" si="15"/>
        <v>185900</v>
      </c>
      <c r="O136" s="38">
        <f>M136/$M$141</f>
        <v>0</v>
      </c>
    </row>
    <row r="137" spans="1:15" ht="15.95" customHeight="1" x14ac:dyDescent="0.2">
      <c r="A137" s="41" t="s">
        <v>223</v>
      </c>
      <c r="B137" s="29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28">
        <f t="shared" si="18"/>
        <v>7170</v>
      </c>
      <c r="M137" s="28"/>
      <c r="N137" s="28">
        <f t="shared" si="15"/>
        <v>7170</v>
      </c>
      <c r="O137" s="38">
        <f>M137/$M$141</f>
        <v>0</v>
      </c>
    </row>
    <row r="138" spans="1:15" ht="15.95" customHeight="1" x14ac:dyDescent="0.2">
      <c r="A138" s="41" t="s">
        <v>225</v>
      </c>
      <c r="B138" s="29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28">
        <f>C138+D138-E138+F138-G138+H138+J138-K138</f>
        <v>70000</v>
      </c>
      <c r="M138" s="28"/>
      <c r="N138" s="28">
        <f t="shared" si="15"/>
        <v>70000</v>
      </c>
      <c r="O138" s="38">
        <f>M138/$M$141</f>
        <v>0</v>
      </c>
    </row>
    <row r="139" spans="1:15" ht="30" customHeight="1" x14ac:dyDescent="0.2">
      <c r="A139" s="41">
        <v>453</v>
      </c>
      <c r="B139" s="100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28">
        <f>C139+D139-E139+F139-G139+H139+J139-K139</f>
        <v>120000</v>
      </c>
      <c r="M139" s="28"/>
      <c r="N139" s="28">
        <f t="shared" si="15"/>
        <v>120000</v>
      </c>
      <c r="O139" s="38"/>
    </row>
    <row r="140" spans="1:15" ht="30.75" customHeight="1" thickBo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28">
        <f t="shared" ref="L140" si="19">C140+D140-E140+F140-G140+H140+J140-K140</f>
        <v>8750</v>
      </c>
      <c r="M140" s="28"/>
      <c r="N140" s="28">
        <f t="shared" si="15"/>
        <v>8750</v>
      </c>
      <c r="O140" s="38">
        <f>M140/$M$141</f>
        <v>0</v>
      </c>
    </row>
    <row r="141" spans="1:15" ht="18" customHeight="1" thickBot="1" x14ac:dyDescent="0.3">
      <c r="A141" s="32"/>
      <c r="B141" s="33" t="s">
        <v>90</v>
      </c>
      <c r="C141" s="34">
        <f t="shared" ref="C141:N141" si="20">SUM(C31:C140)</f>
        <v>8258523.6200000001</v>
      </c>
      <c r="D141" s="34">
        <f t="shared" si="20"/>
        <v>0</v>
      </c>
      <c r="E141" s="34">
        <f t="shared" si="20"/>
        <v>0</v>
      </c>
      <c r="F141" s="34">
        <f t="shared" si="20"/>
        <v>584600</v>
      </c>
      <c r="G141" s="34">
        <f t="shared" si="20"/>
        <v>584600</v>
      </c>
      <c r="H141" s="34">
        <f t="shared" si="20"/>
        <v>0</v>
      </c>
      <c r="I141" s="34">
        <f t="shared" si="20"/>
        <v>0</v>
      </c>
      <c r="J141" s="64">
        <f t="shared" si="20"/>
        <v>0</v>
      </c>
      <c r="K141" s="64">
        <f t="shared" si="20"/>
        <v>0</v>
      </c>
      <c r="L141" s="34">
        <f>SUM(L31:L140)</f>
        <v>8258523.620000001</v>
      </c>
      <c r="M141" s="34">
        <f>SUM(M31:M140)</f>
        <v>1274795.4499999995</v>
      </c>
      <c r="N141" s="34">
        <f t="shared" si="20"/>
        <v>6983728.1699999999</v>
      </c>
      <c r="O141" s="45">
        <v>1</v>
      </c>
    </row>
    <row r="142" spans="1:15" x14ac:dyDescent="0.2">
      <c r="A142" s="46"/>
      <c r="B142" s="75"/>
      <c r="C142" s="77"/>
      <c r="D142" s="76"/>
      <c r="E142" s="47"/>
      <c r="F142" s="47"/>
      <c r="G142" s="47"/>
      <c r="H142" s="47"/>
      <c r="I142" s="47"/>
      <c r="J142" s="65"/>
      <c r="K142" s="65"/>
      <c r="L142" s="47"/>
      <c r="M142" s="47"/>
      <c r="N142" s="47"/>
    </row>
    <row r="143" spans="1:15" ht="15.75" thickBot="1" x14ac:dyDescent="0.25">
      <c r="E143" s="12"/>
      <c r="F143" s="4"/>
      <c r="L143" s="14"/>
      <c r="M143" s="4"/>
    </row>
    <row r="144" spans="1:15" ht="15.75" x14ac:dyDescent="0.25">
      <c r="A144" s="1" t="s">
        <v>83</v>
      </c>
      <c r="B144" s="2"/>
      <c r="C144" s="3"/>
      <c r="D144" s="4"/>
      <c r="E144" s="4"/>
      <c r="F144" s="4"/>
      <c r="G144" s="4"/>
      <c r="H144" s="4"/>
      <c r="I144" s="4"/>
      <c r="J144" s="66"/>
      <c r="K144" s="66"/>
      <c r="L144" s="4"/>
      <c r="M144" s="4"/>
    </row>
    <row r="145" spans="1:13" ht="15.75" x14ac:dyDescent="0.25">
      <c r="A145" s="5" t="s">
        <v>2</v>
      </c>
      <c r="B145" s="6"/>
      <c r="C145" s="7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5.0999999999999996" customHeight="1" thickBot="1" x14ac:dyDescent="0.25">
      <c r="A146" s="8"/>
      <c r="B146" s="9"/>
      <c r="C146" s="10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6.95" customHeight="1" x14ac:dyDescent="0.2">
      <c r="A147" s="48"/>
      <c r="B147" s="49"/>
      <c r="C147" s="5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x14ac:dyDescent="0.2">
      <c r="A148" s="51" t="s">
        <v>84</v>
      </c>
      <c r="B148" s="52"/>
      <c r="C148" s="53"/>
      <c r="D148" s="4"/>
      <c r="E148" s="4"/>
      <c r="F148" s="4"/>
      <c r="G148" s="4"/>
      <c r="H148" s="4"/>
      <c r="I148" s="4"/>
      <c r="J148" s="66"/>
      <c r="K148" s="66"/>
      <c r="L148" s="4"/>
    </row>
    <row r="149" spans="1:13" x14ac:dyDescent="0.2">
      <c r="A149" s="54" t="s">
        <v>257</v>
      </c>
      <c r="B149" s="52"/>
      <c r="C149" s="69">
        <v>1808838.07</v>
      </c>
      <c r="D149" s="47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258</v>
      </c>
      <c r="B150" s="52"/>
      <c r="C150" s="69">
        <v>-22528.77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249</v>
      </c>
      <c r="B151" s="52"/>
      <c r="C151" s="69"/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83" t="s">
        <v>239</v>
      </c>
      <c r="B152" s="52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259</v>
      </c>
      <c r="B153" s="52"/>
      <c r="C153" s="69">
        <f>1174639.32+309594.02-600</f>
        <v>1483633.34</v>
      </c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54" t="s">
        <v>85</v>
      </c>
      <c r="B154" s="52"/>
      <c r="C154" s="69">
        <f>M26</f>
        <v>840808.7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86</v>
      </c>
      <c r="B155" s="52"/>
      <c r="C155" s="70">
        <f>-M141</f>
        <v>-1274795.4499999995</v>
      </c>
      <c r="D155" s="4"/>
      <c r="E155" s="4"/>
      <c r="F155" s="4"/>
      <c r="G155" s="4"/>
      <c r="H155" s="4"/>
      <c r="I155" s="4"/>
      <c r="J155" s="66"/>
      <c r="K155" s="66"/>
      <c r="L155" s="4"/>
    </row>
    <row r="156" spans="1:13" ht="15.75" x14ac:dyDescent="0.25">
      <c r="A156" s="55" t="s">
        <v>87</v>
      </c>
      <c r="B156" s="56"/>
      <c r="C156" s="71">
        <f>SUM(C149:C155)</f>
        <v>2835955.8900000006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/>
      <c r="B157" s="56"/>
      <c r="C157" s="71"/>
      <c r="D157" s="4"/>
      <c r="E157" s="4"/>
      <c r="F157" s="4"/>
      <c r="G157" s="4"/>
      <c r="H157" s="4"/>
      <c r="I157" s="4"/>
      <c r="J157" s="66"/>
      <c r="K157" s="66"/>
      <c r="L157" s="4"/>
    </row>
    <row r="158" spans="1:13" x14ac:dyDescent="0.2">
      <c r="A158" s="51" t="s">
        <v>88</v>
      </c>
      <c r="B158" s="52"/>
      <c r="C158" s="69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ht="12" customHeight="1" x14ac:dyDescent="0.2">
      <c r="A159" s="54" t="s">
        <v>147</v>
      </c>
      <c r="B159" s="52"/>
      <c r="C159" s="69">
        <v>276.89999999999998</v>
      </c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241</v>
      </c>
      <c r="B160" s="52"/>
      <c r="C160" s="69">
        <v>825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248</v>
      </c>
      <c r="B161" s="52"/>
      <c r="C161" s="69">
        <v>7585.67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x14ac:dyDescent="0.2">
      <c r="A162" s="54" t="s">
        <v>150</v>
      </c>
      <c r="B162" s="52"/>
      <c r="C162" s="69">
        <f>7276.31+3293.79+681.94+28.04-0.02</f>
        <v>11280.060000000001</v>
      </c>
      <c r="D162" s="79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149</v>
      </c>
      <c r="B163" s="52"/>
      <c r="C163" s="69">
        <v>1734.25</v>
      </c>
      <c r="D163" s="80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148</v>
      </c>
      <c r="B164" s="52"/>
      <c r="C164" s="69">
        <f>1668.26+3160.69</f>
        <v>4828.95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253</v>
      </c>
      <c r="B165" s="52"/>
      <c r="C165" s="69">
        <f>191.14+163.24+150</f>
        <v>504.38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/>
      <c r="B166" s="52"/>
      <c r="C166" s="69"/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52"/>
      <c r="C167" s="70"/>
      <c r="D167" s="81"/>
      <c r="E167" s="82"/>
      <c r="F167" s="4"/>
      <c r="G167" s="4"/>
      <c r="H167" s="4"/>
      <c r="I167" s="4"/>
      <c r="J167" s="66"/>
      <c r="K167" s="66"/>
      <c r="L167" s="4"/>
    </row>
    <row r="168" spans="1:13" ht="15.75" x14ac:dyDescent="0.25">
      <c r="A168" s="55"/>
      <c r="B168" s="56"/>
      <c r="C168" s="71">
        <f>SUM(C159:C167)</f>
        <v>27035.210000000003</v>
      </c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2.1" customHeight="1" x14ac:dyDescent="0.25">
      <c r="A169" s="55"/>
      <c r="B169" s="56"/>
      <c r="C169" s="72"/>
      <c r="D169" s="80"/>
      <c r="E169" s="4"/>
      <c r="F169" s="4"/>
      <c r="G169" s="4"/>
      <c r="H169" s="4"/>
      <c r="I169" s="4"/>
      <c r="J169" s="66"/>
      <c r="K169" s="66"/>
      <c r="L169" s="4"/>
    </row>
    <row r="170" spans="1:13" x14ac:dyDescent="0.2">
      <c r="A170" s="54"/>
      <c r="B170" s="52"/>
      <c r="C170" s="69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ht="2.1" customHeight="1" thickBot="1" x14ac:dyDescent="0.3">
      <c r="A171" s="57" t="s">
        <v>238</v>
      </c>
      <c r="B171" s="58"/>
      <c r="C171" s="68">
        <f>C156+C168</f>
        <v>2862991.1000000006</v>
      </c>
      <c r="D171" s="79"/>
      <c r="E171" s="4"/>
      <c r="F171" s="4"/>
      <c r="G171" s="4"/>
      <c r="H171" s="4"/>
      <c r="I171" s="4"/>
      <c r="J171" s="66"/>
      <c r="K171" s="66"/>
      <c r="L171" s="4"/>
    </row>
    <row r="172" spans="1:13" ht="9.9499999999999993" customHeight="1" x14ac:dyDescent="0.2">
      <c r="A172" s="54"/>
      <c r="B172" s="52"/>
      <c r="C172" s="69"/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16.5" thickBot="1" x14ac:dyDescent="0.3">
      <c r="A173" s="57" t="s">
        <v>265</v>
      </c>
      <c r="B173" s="58"/>
      <c r="C173" s="68">
        <f>C156+C168</f>
        <v>2862991.1000000006</v>
      </c>
      <c r="D173" s="81"/>
      <c r="E173" s="4"/>
      <c r="F173" s="4"/>
      <c r="G173" s="4"/>
      <c r="H173" s="4"/>
      <c r="I173" s="4"/>
      <c r="J173" s="66"/>
      <c r="K173" s="66"/>
      <c r="L173" s="4"/>
      <c r="M173" s="4"/>
    </row>
    <row r="174" spans="1:13" x14ac:dyDescent="0.2">
      <c r="A174" s="52"/>
      <c r="B174" s="86"/>
      <c r="C174" s="4"/>
      <c r="D174" s="4"/>
      <c r="E174" s="4"/>
      <c r="F174" s="4"/>
      <c r="G174" s="4"/>
      <c r="H174" s="4"/>
      <c r="I174" s="4"/>
      <c r="J174" s="66"/>
      <c r="K174" s="66"/>
      <c r="L174" s="4"/>
    </row>
    <row r="175" spans="1:13" x14ac:dyDescent="0.2">
      <c r="B175" s="86"/>
      <c r="C175" s="87"/>
      <c r="D175" s="4"/>
      <c r="E175" s="4"/>
    </row>
    <row r="176" spans="1:13" x14ac:dyDescent="0.2">
      <c r="C176" s="13"/>
      <c r="D176" s="4"/>
    </row>
    <row r="177" spans="2:12" x14ac:dyDescent="0.2">
      <c r="C177" s="13"/>
      <c r="D177" s="4"/>
    </row>
    <row r="178" spans="2:12" x14ac:dyDescent="0.2">
      <c r="C178" s="14"/>
      <c r="D178" s="4"/>
      <c r="I178" s="4"/>
      <c r="K178" s="66"/>
      <c r="L178" s="4"/>
    </row>
    <row r="179" spans="2:12" x14ac:dyDescent="0.2">
      <c r="C179" s="14"/>
      <c r="D179" s="4"/>
    </row>
    <row r="180" spans="2:12" x14ac:dyDescent="0.2">
      <c r="C180" s="14"/>
      <c r="D180" s="4"/>
    </row>
    <row r="181" spans="2:12" x14ac:dyDescent="0.2">
      <c r="C181" s="14"/>
      <c r="D181" s="4"/>
    </row>
    <row r="182" spans="2:12" x14ac:dyDescent="0.2">
      <c r="C182" s="14"/>
      <c r="D182" s="4"/>
    </row>
    <row r="183" spans="2:12" x14ac:dyDescent="0.2">
      <c r="D183" s="4"/>
    </row>
    <row r="184" spans="2:12" x14ac:dyDescent="0.2">
      <c r="D184" s="4"/>
    </row>
    <row r="185" spans="2:12" x14ac:dyDescent="0.2">
      <c r="B185" s="84" t="s">
        <v>254</v>
      </c>
      <c r="C185" s="85" t="s">
        <v>255</v>
      </c>
      <c r="E185" s="85"/>
      <c r="G185" s="84" t="s">
        <v>260</v>
      </c>
      <c r="J185" s="85" t="s">
        <v>252</v>
      </c>
      <c r="K185" s="74"/>
    </row>
    <row r="186" spans="2:12" x14ac:dyDescent="0.2">
      <c r="B186" s="84" t="s">
        <v>89</v>
      </c>
      <c r="C186" s="85" t="s">
        <v>261</v>
      </c>
      <c r="E186" s="85"/>
      <c r="G186" s="84" t="s">
        <v>247</v>
      </c>
      <c r="J186" s="84" t="s">
        <v>242</v>
      </c>
    </row>
    <row r="190" spans="2:12" x14ac:dyDescent="0.2">
      <c r="I190" s="4"/>
      <c r="K190" s="66"/>
      <c r="L190" s="4"/>
    </row>
    <row r="191" spans="2:12" x14ac:dyDescent="0.2">
      <c r="I191" s="4"/>
      <c r="K191" s="66"/>
      <c r="L191" s="4"/>
    </row>
    <row r="192" spans="2:12" x14ac:dyDescent="0.2">
      <c r="G192" s="59"/>
      <c r="I192" s="59"/>
      <c r="K192" s="67"/>
      <c r="L192" s="4"/>
    </row>
    <row r="193" spans="7:12" x14ac:dyDescent="0.2">
      <c r="G193" s="59"/>
      <c r="I193" s="59"/>
      <c r="K193" s="67"/>
      <c r="L193" s="4"/>
    </row>
    <row r="194" spans="7:12" x14ac:dyDescent="0.2">
      <c r="G194" s="59"/>
      <c r="L194" s="4"/>
    </row>
    <row r="195" spans="7:12" x14ac:dyDescent="0.2">
      <c r="G195" s="59"/>
    </row>
    <row r="196" spans="7:12" x14ac:dyDescent="0.2">
      <c r="G196" s="59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fitToHeight="0" orientation="landscape" horizontalDpi="360" verticalDpi="360" r:id="rId1"/>
  <rowBreaks count="2" manualBreakCount="2">
    <brk id="56" max="16383" man="1"/>
    <brk id="121" max="16383" man="1"/>
  </rowBreaks>
  <ignoredErrors>
    <ignoredError sqref="L35 L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15C58-968B-4262-BAEA-1742EB851205}">
  <sheetPr>
    <pageSetUpPr fitToPage="1"/>
  </sheetPr>
  <dimension ref="A1:O208"/>
  <sheetViews>
    <sheetView topLeftCell="A142" zoomScaleNormal="100" workbookViewId="0">
      <selection activeCell="C152" sqref="C152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384" width="11.42578125" style="11"/>
  </cols>
  <sheetData>
    <row r="1" spans="1:15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237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</f>
        <v>16601</v>
      </c>
      <c r="N10" s="28">
        <f t="shared" ref="N10:N22" si="1">L10-M10</f>
        <v>20399</v>
      </c>
      <c r="O10" s="27">
        <f>M10/$M$26</f>
        <v>1.9744086853525661E-2</v>
      </c>
    </row>
    <row r="11" spans="1:15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5.2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v>0.41</v>
      </c>
      <c r="N12" s="28">
        <f t="shared" si="1"/>
        <v>30499.59</v>
      </c>
      <c r="O12" s="27">
        <f>M12/$M$26</f>
        <v>4.8762578217851455E-7</v>
      </c>
    </row>
    <row r="13" spans="1:15" ht="33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</f>
        <v>2283.9300000000003</v>
      </c>
      <c r="N15" s="28">
        <f t="shared" si="1"/>
        <v>6516.07</v>
      </c>
      <c r="O15" s="27">
        <f>M15/$M$26</f>
        <v>2.7163491529048171E-3</v>
      </c>
    </row>
    <row r="16" spans="1:15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5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5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/>
      <c r="I18" s="28"/>
      <c r="J18" s="44"/>
      <c r="K18" s="44"/>
      <c r="L18" s="28">
        <f>C18+D18-E18+F18-G18+J18-I18-K18</f>
        <v>3669949.52</v>
      </c>
      <c r="M18" s="28">
        <f>249714.95+226495.4+345713.01</f>
        <v>821923.36</v>
      </c>
      <c r="N18" s="28">
        <f t="shared" si="1"/>
        <v>2848026.16</v>
      </c>
      <c r="O18" s="27">
        <f>M18/$M$26</f>
        <v>0.97753907636778736</v>
      </c>
    </row>
    <row r="19" spans="1:15" ht="15.95" hidden="1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</row>
    <row r="20" spans="1:15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/>
      <c r="I20" s="28"/>
      <c r="J20" s="44"/>
      <c r="K20" s="44"/>
      <c r="L20" s="28">
        <f t="shared" si="0"/>
        <v>1904175.88</v>
      </c>
      <c r="M20" s="28"/>
      <c r="N20" s="28">
        <f t="shared" si="1"/>
        <v>1904175.88</v>
      </c>
      <c r="O20" s="27">
        <f>M20/$M$26</f>
        <v>0</v>
      </c>
    </row>
    <row r="21" spans="1:15" ht="15.95" customHeight="1" x14ac:dyDescent="0.25">
      <c r="A21" s="29" t="s">
        <v>25</v>
      </c>
      <c r="B21" s="100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</row>
    <row r="22" spans="1:15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5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5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5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5" ht="18" customHeight="1" thickBot="1" x14ac:dyDescent="0.3">
      <c r="A26" s="32"/>
      <c r="B26" s="106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0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8258523.620000001</v>
      </c>
      <c r="M26" s="34">
        <f>SUM(M10:M25)</f>
        <v>840808.7</v>
      </c>
      <c r="N26" s="34">
        <f t="shared" si="2"/>
        <v>7417714.9199999999</v>
      </c>
      <c r="O26" s="27"/>
    </row>
    <row r="27" spans="1:15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5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5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5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5" ht="15.95" customHeight="1" x14ac:dyDescent="0.2">
      <c r="A31" s="41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/>
      <c r="I31" s="28"/>
      <c r="J31" s="44"/>
      <c r="K31" s="44"/>
      <c r="L31" s="28">
        <f>C31+D31-E31+F31-G31+H31+J31-I31-K31</f>
        <v>820572.04</v>
      </c>
      <c r="M31" s="28">
        <f>59982.77+68194.09+68194.09</f>
        <v>196370.94999999998</v>
      </c>
      <c r="N31" s="28">
        <f t="shared" ref="N31:N100" si="3">L31-M31</f>
        <v>624201.09000000008</v>
      </c>
      <c r="O31" s="38">
        <f>M31/$M$140</f>
        <v>0.15404138607709356</v>
      </c>
    </row>
    <row r="32" spans="1:15" ht="32.2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f>750+750+750</f>
        <v>2250</v>
      </c>
      <c r="N32" s="28">
        <f t="shared" si="3"/>
        <v>11450</v>
      </c>
      <c r="O32" s="38">
        <f>M32/$M$140</f>
        <v>1.7649918110263282E-3</v>
      </c>
    </row>
    <row r="33" spans="1:15" ht="32.2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f>18899+21149+21149</f>
        <v>61197</v>
      </c>
      <c r="N33" s="28">
        <f t="shared" si="3"/>
        <v>249903</v>
      </c>
      <c r="O33" s="38">
        <f>M33/$M$140</f>
        <v>4.8005423937501422E-2</v>
      </c>
    </row>
    <row r="34" spans="1:15" ht="15.95" customHeight="1" x14ac:dyDescent="0.3">
      <c r="A34" s="41" t="s">
        <v>250</v>
      </c>
      <c r="B34" s="100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5">M35/$M$140</f>
        <v>0</v>
      </c>
    </row>
    <row r="36" spans="1:15" ht="15.95" customHeight="1" x14ac:dyDescent="0.2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/>
      <c r="K36" s="44"/>
      <c r="L36" s="28">
        <f t="shared" si="4"/>
        <v>17500</v>
      </c>
      <c r="M36" s="28">
        <f>540+1620+1620</f>
        <v>3780</v>
      </c>
      <c r="N36" s="28">
        <f t="shared" si="3"/>
        <v>13720</v>
      </c>
      <c r="O36" s="38">
        <f t="shared" si="5"/>
        <v>2.9651862425242315E-3</v>
      </c>
    </row>
    <row r="37" spans="1:15" ht="15.95" customHeight="1" x14ac:dyDescent="0.2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v>818.04</v>
      </c>
      <c r="N37" s="28">
        <f t="shared" si="3"/>
        <v>33692.76</v>
      </c>
      <c r="O37" s="38">
        <f t="shared" si="5"/>
        <v>6.4170395604087882E-4</v>
      </c>
    </row>
    <row r="38" spans="1:15" ht="15.95" customHeight="1" x14ac:dyDescent="0.2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/>
      <c r="I38" s="28"/>
      <c r="J38" s="44"/>
      <c r="K38" s="44"/>
      <c r="L38" s="28">
        <f t="shared" si="4"/>
        <v>112401.15</v>
      </c>
      <c r="M38" s="28">
        <f>6400.16+7276.31+7363.59</f>
        <v>21040.06</v>
      </c>
      <c r="N38" s="28">
        <f t="shared" si="3"/>
        <v>91361.09</v>
      </c>
      <c r="O38" s="38">
        <f t="shared" si="5"/>
        <v>1.6504681601556714E-2</v>
      </c>
    </row>
    <row r="39" spans="1:15" ht="15.95" customHeight="1" x14ac:dyDescent="0.2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</f>
        <v>1971.8899999999999</v>
      </c>
      <c r="N39" s="28">
        <f t="shared" si="3"/>
        <v>13218.95</v>
      </c>
      <c r="O39" s="38">
        <f t="shared" si="5"/>
        <v>1.546830978775425E-3</v>
      </c>
    </row>
    <row r="40" spans="1:15" ht="15.95" customHeight="1" x14ac:dyDescent="0.2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/>
      <c r="I40" s="28"/>
      <c r="J40" s="44"/>
      <c r="K40" s="44"/>
      <c r="L40" s="28">
        <f t="shared" si="4"/>
        <v>72581.009999999995</v>
      </c>
      <c r="M40" s="28"/>
      <c r="N40" s="28">
        <f t="shared" si="3"/>
        <v>72581.009999999995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/>
      <c r="I41" s="28"/>
      <c r="J41" s="44"/>
      <c r="K41" s="44"/>
      <c r="L41" s="28">
        <f t="shared" si="4"/>
        <v>72581.009999999995</v>
      </c>
      <c r="M41" s="28"/>
      <c r="N41" s="28">
        <f t="shared" si="3"/>
        <v>72581.009999999995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3"/>
        <v>5000</v>
      </c>
      <c r="O42" s="38">
        <f t="shared" si="5"/>
        <v>0</v>
      </c>
    </row>
    <row r="43" spans="1:15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100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108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100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0" si="6">C46+D46-E46+F46-G46+H46+J46-K46</f>
        <v>13750</v>
      </c>
      <c r="M46" s="28">
        <f>346.37+964.95+1334.04</f>
        <v>2645.36</v>
      </c>
      <c r="N46" s="28">
        <f t="shared" si="3"/>
        <v>11104.64</v>
      </c>
      <c r="O46" s="38">
        <f t="shared" ref="O46:O55" si="7">M46/$M$140</f>
        <v>2.0751283276518257E-3</v>
      </c>
    </row>
    <row r="47" spans="1:15" ht="15.95" customHeight="1" x14ac:dyDescent="0.2">
      <c r="A47" s="41" t="s">
        <v>92</v>
      </c>
      <c r="B47" s="100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f>7409.06+619.68+618</f>
        <v>8646.7400000000016</v>
      </c>
      <c r="N47" s="28">
        <f t="shared" si="3"/>
        <v>17453.259999999998</v>
      </c>
      <c r="O47" s="38">
        <f t="shared" si="7"/>
        <v>6.782855685366131E-3</v>
      </c>
    </row>
    <row r="48" spans="1:15" ht="15.95" customHeight="1" x14ac:dyDescent="0.2">
      <c r="A48" s="41" t="s">
        <v>93</v>
      </c>
      <c r="B48" s="100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f>469.55+470.27+568.5</f>
        <v>1508.32</v>
      </c>
      <c r="N48" s="28">
        <f t="shared" si="3"/>
        <v>491.68000000000006</v>
      </c>
      <c r="O48" s="38">
        <f t="shared" si="7"/>
        <v>1.1831877548476584E-3</v>
      </c>
    </row>
    <row r="49" spans="1:15" ht="15.95" customHeight="1" x14ac:dyDescent="0.2">
      <c r="A49" s="41" t="s">
        <v>94</v>
      </c>
      <c r="B49" s="100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>
        <v>2040</v>
      </c>
      <c r="N49" s="28">
        <f t="shared" si="3"/>
        <v>5960</v>
      </c>
      <c r="O49" s="38">
        <f t="shared" si="7"/>
        <v>1.6002592419972041E-3</v>
      </c>
    </row>
    <row r="50" spans="1:15" ht="15.95" customHeight="1" x14ac:dyDescent="0.2">
      <c r="A50" s="41" t="s">
        <v>95</v>
      </c>
      <c r="B50" s="100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</f>
        <v>2426.0499999999997</v>
      </c>
      <c r="N50" s="28">
        <f t="shared" si="3"/>
        <v>11823.95</v>
      </c>
      <c r="O50" s="38">
        <f t="shared" si="7"/>
        <v>1.9030926147290768E-3</v>
      </c>
    </row>
    <row r="51" spans="1:15" ht="15.95" customHeight="1" x14ac:dyDescent="0.2">
      <c r="A51" s="41" t="s">
        <v>96</v>
      </c>
      <c r="B51" s="100" t="s">
        <v>161</v>
      </c>
      <c r="C51" s="28">
        <v>673088.47</v>
      </c>
      <c r="D51" s="28"/>
      <c r="E51" s="28"/>
      <c r="F51" s="44">
        <v>300000</v>
      </c>
      <c r="G51" s="44"/>
      <c r="H51" s="28"/>
      <c r="I51" s="28"/>
      <c r="J51" s="44"/>
      <c r="K51" s="44"/>
      <c r="L51" s="28">
        <f>C51+D51-E51+F51-G51+H51-I51+J51-K51</f>
        <v>973088.47</v>
      </c>
      <c r="M51" s="28">
        <f>52511.08+370815.32</f>
        <v>423326.4</v>
      </c>
      <c r="N51" s="28">
        <f t="shared" si="3"/>
        <v>549762.06999999995</v>
      </c>
      <c r="O51" s="38">
        <f t="shared" si="7"/>
        <v>0.33207450195166927</v>
      </c>
    </row>
    <row r="52" spans="1:15" ht="15.95" customHeight="1" x14ac:dyDescent="0.2">
      <c r="A52" s="41" t="s">
        <v>97</v>
      </c>
      <c r="B52" s="100" t="s">
        <v>53</v>
      </c>
      <c r="C52" s="28">
        <v>563742.69999999995</v>
      </c>
      <c r="D52" s="28"/>
      <c r="E52" s="28"/>
      <c r="F52" s="44"/>
      <c r="G52" s="44">
        <v>300000</v>
      </c>
      <c r="H52" s="28"/>
      <c r="I52" s="28"/>
      <c r="J52" s="44"/>
      <c r="K52" s="44"/>
      <c r="L52" s="28">
        <f>C52+D52-E52+F52-G52+H52+J52-K52</f>
        <v>263742.69999999995</v>
      </c>
      <c r="M52" s="28">
        <f>3740.5+87744.2+10441.24</f>
        <v>101925.94</v>
      </c>
      <c r="N52" s="28">
        <f t="shared" si="3"/>
        <v>161816.75999999995</v>
      </c>
      <c r="O52" s="38">
        <f t="shared" si="7"/>
        <v>7.9954866413849274E-2</v>
      </c>
    </row>
    <row r="53" spans="1:15" ht="15.95" customHeight="1" x14ac:dyDescent="0.2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/>
      <c r="I53" s="28"/>
      <c r="J53" s="44"/>
      <c r="K53" s="44"/>
      <c r="L53" s="28">
        <f>C53+D53-E53+F53-G53+H53+J53-K53</f>
        <v>500985.37</v>
      </c>
      <c r="M53" s="28">
        <f>48849.92+109313.99+1000</f>
        <v>159163.91</v>
      </c>
      <c r="N53" s="28">
        <f t="shared" si="3"/>
        <v>341821.45999999996</v>
      </c>
      <c r="O53" s="38">
        <f t="shared" si="7"/>
        <v>0.12485466567152512</v>
      </c>
    </row>
    <row r="54" spans="1:15" ht="15.95" customHeight="1" x14ac:dyDescent="0.2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/>
      <c r="N54" s="28">
        <f t="shared" si="3"/>
        <v>225000</v>
      </c>
      <c r="O54" s="38">
        <f t="shared" si="7"/>
        <v>0</v>
      </c>
    </row>
    <row r="55" spans="1:15" ht="15.95" customHeight="1" x14ac:dyDescent="0.2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/>
      <c r="K57" s="44"/>
      <c r="L57" s="28">
        <f t="shared" si="6"/>
        <v>4400</v>
      </c>
      <c r="M57" s="28"/>
      <c r="N57" s="28">
        <f t="shared" si="3"/>
        <v>4400</v>
      </c>
      <c r="O57" s="38">
        <f>M57/$M$140</f>
        <v>0</v>
      </c>
    </row>
    <row r="58" spans="1:15" ht="32.25" customHeight="1" x14ac:dyDescent="0.2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>M58/$M$140</f>
        <v>0</v>
      </c>
    </row>
    <row r="59" spans="1:15" ht="32.2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>M59/$M$140</f>
        <v>0</v>
      </c>
    </row>
    <row r="60" spans="1:15" ht="31.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/>
      <c r="N60" s="28">
        <f t="shared" si="3"/>
        <v>7000</v>
      </c>
      <c r="O60" s="38">
        <f>M60/$M$140</f>
        <v>0</v>
      </c>
    </row>
    <row r="61" spans="1:15" ht="33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>M61/$M$140</f>
        <v>3.5299836220526566E-4</v>
      </c>
    </row>
    <row r="62" spans="1:15" ht="15.95" customHeight="1" x14ac:dyDescent="0.2">
      <c r="A62" s="41">
        <v>169</v>
      </c>
      <c r="B62" s="100" t="s">
        <v>236</v>
      </c>
      <c r="C62" s="28">
        <v>15000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15000</v>
      </c>
      <c r="M62" s="28"/>
      <c r="N62" s="28">
        <f t="shared" si="3"/>
        <v>15000</v>
      </c>
      <c r="O62" s="38"/>
    </row>
    <row r="63" spans="1:15" ht="15.95" customHeight="1" x14ac:dyDescent="0.2">
      <c r="A63" s="41">
        <v>171</v>
      </c>
      <c r="B63" s="100" t="s">
        <v>167</v>
      </c>
      <c r="C63" s="28">
        <v>115000</v>
      </c>
      <c r="D63" s="28"/>
      <c r="E63" s="28"/>
      <c r="F63" s="44"/>
      <c r="G63" s="44">
        <v>100000</v>
      </c>
      <c r="H63" s="28"/>
      <c r="I63" s="28"/>
      <c r="J63" s="44"/>
      <c r="K63" s="44"/>
      <c r="L63" s="28">
        <f>C63+D63-E63+F63-G63+H63+J63-I63-K63</f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 t="s">
        <v>107</v>
      </c>
      <c r="B64" s="100" t="s">
        <v>168</v>
      </c>
      <c r="C64" s="28">
        <v>30750</v>
      </c>
      <c r="D64" s="28"/>
      <c r="E64" s="28"/>
      <c r="F64" s="44"/>
      <c r="G64" s="44"/>
      <c r="H64" s="28"/>
      <c r="I64" s="28"/>
      <c r="J64" s="44"/>
      <c r="K64" s="44"/>
      <c r="L64" s="28">
        <f t="shared" si="6"/>
        <v>30750</v>
      </c>
      <c r="M64" s="28"/>
      <c r="N64" s="28">
        <f t="shared" si="3"/>
        <v>30750</v>
      </c>
      <c r="O64" s="38">
        <f>M64/$M$140</f>
        <v>0</v>
      </c>
    </row>
    <row r="65" spans="1:15" ht="30.75" customHeight="1" x14ac:dyDescent="0.2">
      <c r="A65" s="41">
        <v>176</v>
      </c>
      <c r="B65" s="100" t="s">
        <v>263</v>
      </c>
      <c r="C65" s="28">
        <v>0</v>
      </c>
      <c r="D65" s="28"/>
      <c r="E65" s="28"/>
      <c r="F65" s="44">
        <v>20000</v>
      </c>
      <c r="G65" s="44"/>
      <c r="H65" s="28"/>
      <c r="I65" s="28"/>
      <c r="J65" s="44"/>
      <c r="K65" s="44"/>
      <c r="L65" s="28">
        <f t="shared" si="6"/>
        <v>20000</v>
      </c>
      <c r="M65" s="28">
        <v>4000</v>
      </c>
      <c r="N65" s="28">
        <f t="shared" si="3"/>
        <v>16000</v>
      </c>
      <c r="O65" s="38"/>
    </row>
    <row r="66" spans="1:15" ht="30" customHeight="1" x14ac:dyDescent="0.2">
      <c r="A66" s="41" t="s">
        <v>108</v>
      </c>
      <c r="B66" s="100" t="s">
        <v>169</v>
      </c>
      <c r="C66" s="28">
        <v>260706.83</v>
      </c>
      <c r="D66" s="28"/>
      <c r="E66" s="28"/>
      <c r="F66" s="44"/>
      <c r="G66" s="44"/>
      <c r="H66" s="28"/>
      <c r="I66" s="28"/>
      <c r="J66" s="44"/>
      <c r="K66" s="44"/>
      <c r="L66" s="28">
        <f t="shared" si="6"/>
        <v>260706.83</v>
      </c>
      <c r="M66" s="28"/>
      <c r="N66" s="28">
        <f t="shared" si="3"/>
        <v>260706.83</v>
      </c>
      <c r="O66" s="38">
        <f t="shared" ref="O66:O80" si="8">M66/$M$140</f>
        <v>0</v>
      </c>
    </row>
    <row r="67" spans="1:15" ht="15.95" customHeight="1" x14ac:dyDescent="0.2">
      <c r="A67" s="41">
        <v>182</v>
      </c>
      <c r="B67" s="100" t="s">
        <v>235</v>
      </c>
      <c r="C67" s="28">
        <v>10000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10000</v>
      </c>
      <c r="M67" s="28"/>
      <c r="N67" s="28">
        <f t="shared" si="3"/>
        <v>10000</v>
      </c>
      <c r="O67" s="38">
        <f t="shared" si="8"/>
        <v>0</v>
      </c>
    </row>
    <row r="68" spans="1:15" ht="15.95" customHeight="1" x14ac:dyDescent="0.2">
      <c r="A68" s="41" t="s">
        <v>109</v>
      </c>
      <c r="B68" s="100" t="s">
        <v>170</v>
      </c>
      <c r="C68" s="28">
        <v>54000</v>
      </c>
      <c r="D68" s="28"/>
      <c r="E68" s="28"/>
      <c r="F68" s="44">
        <v>6000</v>
      </c>
      <c r="G68" s="44"/>
      <c r="H68" s="28"/>
      <c r="I68" s="28"/>
      <c r="J68" s="44"/>
      <c r="K68" s="44"/>
      <c r="L68" s="28">
        <f t="shared" si="6"/>
        <v>60000</v>
      </c>
      <c r="M68" s="28">
        <v>1018.44</v>
      </c>
      <c r="N68" s="28">
        <f t="shared" si="3"/>
        <v>58981.56</v>
      </c>
      <c r="O68" s="38">
        <f t="shared" si="8"/>
        <v>7.9890589334295726E-4</v>
      </c>
    </row>
    <row r="69" spans="1:15" ht="31.5" customHeight="1" x14ac:dyDescent="0.2">
      <c r="A69" s="41" t="s">
        <v>110</v>
      </c>
      <c r="B69" s="100" t="s">
        <v>171</v>
      </c>
      <c r="C69" s="28">
        <v>54000</v>
      </c>
      <c r="D69" s="28"/>
      <c r="E69" s="28"/>
      <c r="F69" s="44">
        <v>90000</v>
      </c>
      <c r="G69" s="44"/>
      <c r="H69" s="28"/>
      <c r="I69" s="28"/>
      <c r="J69" s="44"/>
      <c r="K69" s="44"/>
      <c r="L69" s="28">
        <f t="shared" si="6"/>
        <v>144000</v>
      </c>
      <c r="M69" s="28">
        <f>4500+4500+4500</f>
        <v>13500</v>
      </c>
      <c r="N69" s="28">
        <f t="shared" si="3"/>
        <v>130500</v>
      </c>
      <c r="O69" s="38">
        <f t="shared" si="8"/>
        <v>1.0589950866157969E-2</v>
      </c>
    </row>
    <row r="70" spans="1:15" ht="15.95" customHeight="1" x14ac:dyDescent="0.2">
      <c r="A70" s="41" t="s">
        <v>111</v>
      </c>
      <c r="B70" s="100" t="s">
        <v>57</v>
      </c>
      <c r="C70" s="28">
        <v>7500</v>
      </c>
      <c r="D70" s="28"/>
      <c r="E70" s="28"/>
      <c r="F70" s="44"/>
      <c r="G70" s="44"/>
      <c r="H70" s="28"/>
      <c r="I70" s="28"/>
      <c r="J70" s="44"/>
      <c r="K70" s="44"/>
      <c r="L70" s="28">
        <f t="shared" si="6"/>
        <v>7500</v>
      </c>
      <c r="M70" s="28">
        <f>235.2+352.8</f>
        <v>588</v>
      </c>
      <c r="N70" s="28">
        <f t="shared" si="3"/>
        <v>6912</v>
      </c>
      <c r="O70" s="38">
        <f t="shared" si="8"/>
        <v>4.612511932815471E-4</v>
      </c>
    </row>
    <row r="71" spans="1:15" ht="32.25" customHeight="1" x14ac:dyDescent="0.2">
      <c r="A71" s="41" t="s">
        <v>112</v>
      </c>
      <c r="B71" s="100" t="s">
        <v>172</v>
      </c>
      <c r="C71" s="28">
        <v>24540</v>
      </c>
      <c r="D71" s="28"/>
      <c r="E71" s="28"/>
      <c r="F71" s="44"/>
      <c r="G71" s="44"/>
      <c r="H71" s="28"/>
      <c r="I71" s="28"/>
      <c r="J71" s="44"/>
      <c r="K71" s="44"/>
      <c r="L71" s="28">
        <f t="shared" si="6"/>
        <v>24540</v>
      </c>
      <c r="M71" s="28"/>
      <c r="N71" s="28">
        <f t="shared" si="3"/>
        <v>24540</v>
      </c>
      <c r="O71" s="38">
        <f t="shared" si="8"/>
        <v>0</v>
      </c>
    </row>
    <row r="72" spans="1:15" ht="15.95" customHeight="1" x14ac:dyDescent="0.2">
      <c r="A72" s="41" t="s">
        <v>113</v>
      </c>
      <c r="B72" s="100" t="s">
        <v>173</v>
      </c>
      <c r="C72" s="28">
        <v>863300</v>
      </c>
      <c r="D72" s="28"/>
      <c r="E72" s="28"/>
      <c r="F72" s="44"/>
      <c r="G72" s="44"/>
      <c r="H72" s="28"/>
      <c r="I72" s="28"/>
      <c r="J72" s="44"/>
      <c r="K72" s="44"/>
      <c r="L72" s="28">
        <f>C72+D72-E72+F72-G72+H72-I72+J72-K72</f>
        <v>863300</v>
      </c>
      <c r="M72" s="28">
        <f>93776.76+70259.49+71194.06</f>
        <v>235230.31</v>
      </c>
      <c r="N72" s="28">
        <f t="shared" si="3"/>
        <v>628069.68999999994</v>
      </c>
      <c r="O72" s="38">
        <f t="shared" si="8"/>
        <v>0.18452425371341538</v>
      </c>
    </row>
    <row r="73" spans="1:15" ht="32.25" customHeight="1" x14ac:dyDescent="0.2">
      <c r="A73" s="41" t="s">
        <v>114</v>
      </c>
      <c r="B73" s="100" t="s">
        <v>174</v>
      </c>
      <c r="C73" s="28">
        <v>8000</v>
      </c>
      <c r="D73" s="28"/>
      <c r="E73" s="28"/>
      <c r="F73" s="44"/>
      <c r="G73" s="44"/>
      <c r="H73" s="28"/>
      <c r="I73" s="28"/>
      <c r="J73" s="44"/>
      <c r="K73" s="44"/>
      <c r="L73" s="28">
        <f t="shared" si="6"/>
        <v>8000</v>
      </c>
      <c r="M73" s="28"/>
      <c r="N73" s="28">
        <f t="shared" si="3"/>
        <v>8000</v>
      </c>
      <c r="O73" s="38">
        <f t="shared" si="8"/>
        <v>0</v>
      </c>
    </row>
    <row r="74" spans="1:15" ht="15.95" customHeight="1" x14ac:dyDescent="0.2">
      <c r="A74" s="41" t="s">
        <v>115</v>
      </c>
      <c r="B74" s="100" t="s">
        <v>58</v>
      </c>
      <c r="C74" s="28">
        <v>176000</v>
      </c>
      <c r="D74" s="28"/>
      <c r="E74" s="28"/>
      <c r="F74" s="44"/>
      <c r="G74" s="44">
        <v>46000</v>
      </c>
      <c r="H74" s="28"/>
      <c r="I74" s="28"/>
      <c r="J74" s="44"/>
      <c r="K74" s="44"/>
      <c r="L74" s="28">
        <f>C74+D74-E74+F74-G74+H74+J74-I74-K74</f>
        <v>130000</v>
      </c>
      <c r="M74" s="28"/>
      <c r="N74" s="28">
        <f t="shared" si="3"/>
        <v>130000</v>
      </c>
      <c r="O74" s="38">
        <f t="shared" si="8"/>
        <v>0</v>
      </c>
    </row>
    <row r="75" spans="1:15" ht="15.95" customHeight="1" x14ac:dyDescent="0.2">
      <c r="A75" s="41" t="s">
        <v>116</v>
      </c>
      <c r="B75" s="100" t="s">
        <v>175</v>
      </c>
      <c r="C75" s="28">
        <v>8250</v>
      </c>
      <c r="D75" s="28"/>
      <c r="E75" s="28"/>
      <c r="F75" s="44"/>
      <c r="G75" s="44"/>
      <c r="H75" s="28"/>
      <c r="I75" s="28"/>
      <c r="J75" s="44"/>
      <c r="K75" s="44"/>
      <c r="L75" s="28">
        <f t="shared" si="6"/>
        <v>8250</v>
      </c>
      <c r="M75" s="28">
        <v>911.4</v>
      </c>
      <c r="N75" s="28">
        <f t="shared" si="3"/>
        <v>7338.6</v>
      </c>
      <c r="O75" s="38">
        <f t="shared" si="8"/>
        <v>7.1493934958639796E-4</v>
      </c>
    </row>
    <row r="76" spans="1:15" ht="15.95" customHeight="1" x14ac:dyDescent="0.2">
      <c r="A76" s="41" t="s">
        <v>117</v>
      </c>
      <c r="B76" s="100" t="s">
        <v>176</v>
      </c>
      <c r="C76" s="28">
        <v>2500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2500</v>
      </c>
      <c r="M76" s="28">
        <f>50+56.72+130.7</f>
        <v>237.42</v>
      </c>
      <c r="N76" s="28">
        <f t="shared" si="3"/>
        <v>2262.58</v>
      </c>
      <c r="O76" s="38">
        <f t="shared" si="8"/>
        <v>1.8624193589949814E-4</v>
      </c>
    </row>
    <row r="77" spans="1:15" ht="15.95" customHeight="1" x14ac:dyDescent="0.2">
      <c r="A77" s="41" t="s">
        <v>118</v>
      </c>
      <c r="B77" s="100" t="s">
        <v>59</v>
      </c>
      <c r="C77" s="28">
        <v>125000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125000</v>
      </c>
      <c r="M77" s="28">
        <f>10+30+10.2</f>
        <v>50.2</v>
      </c>
      <c r="N77" s="28">
        <f t="shared" si="3"/>
        <v>124949.8</v>
      </c>
      <c r="O77" s="38">
        <f t="shared" si="8"/>
        <v>3.9378928406009637E-5</v>
      </c>
    </row>
    <row r="78" spans="1:15" ht="15.95" customHeight="1" x14ac:dyDescent="0.2">
      <c r="A78" s="41" t="s">
        <v>119</v>
      </c>
      <c r="B78" s="100" t="s">
        <v>177</v>
      </c>
      <c r="C78" s="28">
        <v>50000</v>
      </c>
      <c r="D78" s="28"/>
      <c r="E78" s="28"/>
      <c r="F78" s="44"/>
      <c r="G78" s="44"/>
      <c r="H78" s="28"/>
      <c r="I78" s="28"/>
      <c r="J78" s="44"/>
      <c r="K78" s="44"/>
      <c r="L78" s="28">
        <f t="shared" ref="L78:L79" si="9">C78+D78-E78+F78-G78+H78+J78-I78-K78</f>
        <v>50000</v>
      </c>
      <c r="M78" s="28"/>
      <c r="N78" s="28">
        <f t="shared" si="3"/>
        <v>50000</v>
      </c>
      <c r="O78" s="38">
        <f t="shared" si="8"/>
        <v>0</v>
      </c>
    </row>
    <row r="79" spans="1:15" ht="15.95" customHeight="1" x14ac:dyDescent="0.2">
      <c r="A79" s="41" t="s">
        <v>178</v>
      </c>
      <c r="B79" s="100" t="s">
        <v>151</v>
      </c>
      <c r="C79" s="28">
        <v>46100</v>
      </c>
      <c r="D79" s="28"/>
      <c r="E79" s="28"/>
      <c r="F79" s="44"/>
      <c r="G79" s="44"/>
      <c r="H79" s="28"/>
      <c r="I79" s="28"/>
      <c r="J79" s="44"/>
      <c r="K79" s="44"/>
      <c r="L79" s="28">
        <f t="shared" si="9"/>
        <v>46100</v>
      </c>
      <c r="M79" s="28"/>
      <c r="N79" s="28">
        <f t="shared" si="3"/>
        <v>46100</v>
      </c>
      <c r="O79" s="38">
        <f t="shared" si="8"/>
        <v>0</v>
      </c>
    </row>
    <row r="80" spans="1:15" ht="15.95" customHeight="1" x14ac:dyDescent="0.2">
      <c r="A80" s="41" t="s">
        <v>120</v>
      </c>
      <c r="B80" s="100" t="s">
        <v>179</v>
      </c>
      <c r="C80" s="28">
        <v>51000</v>
      </c>
      <c r="D80" s="28"/>
      <c r="E80" s="28"/>
      <c r="F80" s="44"/>
      <c r="G80" s="44"/>
      <c r="H80" s="28"/>
      <c r="I80" s="28"/>
      <c r="J80" s="44"/>
      <c r="K80" s="44"/>
      <c r="L80" s="28">
        <f t="shared" si="6"/>
        <v>51000</v>
      </c>
      <c r="M80" s="28">
        <v>440</v>
      </c>
      <c r="N80" s="28">
        <f t="shared" si="3"/>
        <v>50560</v>
      </c>
      <c r="O80" s="38">
        <f t="shared" si="8"/>
        <v>3.4515395415625971E-4</v>
      </c>
    </row>
    <row r="81" spans="1:15" ht="15.95" customHeight="1" x14ac:dyDescent="0.2">
      <c r="A81" s="41"/>
      <c r="B81" s="100"/>
      <c r="C81" s="28"/>
      <c r="D81" s="28"/>
      <c r="E81" s="28"/>
      <c r="F81" s="44"/>
      <c r="G81" s="44"/>
      <c r="H81" s="28"/>
      <c r="I81" s="28"/>
      <c r="J81" s="44"/>
      <c r="K81" s="44"/>
      <c r="L81" s="28"/>
      <c r="M81" s="28"/>
      <c r="N81" s="28"/>
      <c r="O81" s="38"/>
    </row>
    <row r="82" spans="1:15" ht="15.95" customHeight="1" x14ac:dyDescent="0.2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5">
      <c r="A83" s="39">
        <v>2</v>
      </c>
      <c r="B83" s="108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">
      <c r="A84" s="41" t="s">
        <v>121</v>
      </c>
      <c r="B84" s="100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28">
        <f t="shared" ref="L84:L120" si="10">C84+D84-E84+F84-G84+H84+J84-K84</f>
        <v>146784.1</v>
      </c>
      <c r="M84" s="28">
        <f>2380.7+754.5+12765.2</f>
        <v>15900.400000000001</v>
      </c>
      <c r="N84" s="28">
        <f t="shared" si="3"/>
        <v>130883.70000000001</v>
      </c>
      <c r="O84" s="38">
        <f t="shared" ref="O84:O120" si="11">M84/$M$140</f>
        <v>1.2472922574241346E-2</v>
      </c>
    </row>
    <row r="85" spans="1:15" ht="15.95" hidden="1" customHeight="1" x14ac:dyDescent="0.2">
      <c r="A85" s="41">
        <v>214</v>
      </c>
      <c r="B85" s="100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28">
        <f t="shared" si="10"/>
        <v>0</v>
      </c>
      <c r="M85" s="28"/>
      <c r="N85" s="28">
        <f t="shared" si="3"/>
        <v>0</v>
      </c>
      <c r="O85" s="38">
        <f t="shared" si="11"/>
        <v>0</v>
      </c>
    </row>
    <row r="86" spans="1:15" ht="15.95" customHeight="1" x14ac:dyDescent="0.2">
      <c r="A86" s="41">
        <v>223</v>
      </c>
      <c r="B86" s="100" t="s">
        <v>192</v>
      </c>
      <c r="C86" s="28">
        <v>2000</v>
      </c>
      <c r="D86" s="28"/>
      <c r="E86" s="28"/>
      <c r="F86" s="44"/>
      <c r="G86" s="44"/>
      <c r="H86" s="28"/>
      <c r="I86" s="28"/>
      <c r="J86" s="44"/>
      <c r="K86" s="44"/>
      <c r="L86" s="28">
        <f t="shared" si="10"/>
        <v>2000</v>
      </c>
      <c r="M86" s="28"/>
      <c r="N86" s="28">
        <f t="shared" si="3"/>
        <v>2000</v>
      </c>
      <c r="O86" s="38">
        <f t="shared" si="11"/>
        <v>0</v>
      </c>
    </row>
    <row r="87" spans="1:15" ht="15.95" hidden="1" customHeight="1" x14ac:dyDescent="0.2">
      <c r="A87" s="41">
        <v>229</v>
      </c>
      <c r="B87" s="100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28">
        <f t="shared" si="10"/>
        <v>0</v>
      </c>
      <c r="M87" s="28"/>
      <c r="N87" s="28">
        <f t="shared" si="3"/>
        <v>0</v>
      </c>
      <c r="O87" s="38">
        <f t="shared" si="11"/>
        <v>0</v>
      </c>
    </row>
    <row r="88" spans="1:15" ht="15.95" customHeight="1" x14ac:dyDescent="0.2">
      <c r="A88" s="41" t="s">
        <v>122</v>
      </c>
      <c r="B88" s="100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28">
        <f t="shared" si="10"/>
        <v>5000</v>
      </c>
      <c r="M88" s="28">
        <f>94.99+48</f>
        <v>142.99</v>
      </c>
      <c r="N88" s="28">
        <f t="shared" si="3"/>
        <v>4857.01</v>
      </c>
      <c r="O88" s="38">
        <f t="shared" si="11"/>
        <v>1.1216719069273542E-4</v>
      </c>
    </row>
    <row r="89" spans="1:15" ht="15.95" customHeight="1" x14ac:dyDescent="0.2">
      <c r="A89" s="41" t="s">
        <v>123</v>
      </c>
      <c r="B89" s="100" t="s">
        <v>63</v>
      </c>
      <c r="C89" s="28">
        <v>33800</v>
      </c>
      <c r="D89" s="28"/>
      <c r="E89" s="28"/>
      <c r="F89" s="44"/>
      <c r="G89" s="44"/>
      <c r="H89" s="28"/>
      <c r="I89" s="28"/>
      <c r="J89" s="44"/>
      <c r="K89" s="44"/>
      <c r="L89" s="28">
        <f t="shared" si="10"/>
        <v>33800</v>
      </c>
      <c r="M89" s="28"/>
      <c r="N89" s="28">
        <f t="shared" si="3"/>
        <v>33800</v>
      </c>
      <c r="O89" s="38">
        <f t="shared" si="11"/>
        <v>0</v>
      </c>
    </row>
    <row r="90" spans="1:15" ht="15.95" customHeight="1" x14ac:dyDescent="0.2">
      <c r="A90" s="41" t="s">
        <v>124</v>
      </c>
      <c r="B90" s="100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28">
        <f t="shared" ref="L90" si="12">C90+D90-E90+F90-G90+H90+J90-I90-K90</f>
        <v>5250</v>
      </c>
      <c r="M90" s="28">
        <f>439+446.2+360</f>
        <v>1245.2</v>
      </c>
      <c r="N90" s="28">
        <f t="shared" si="3"/>
        <v>4004.8</v>
      </c>
      <c r="O90" s="38">
        <f t="shared" si="11"/>
        <v>9.7678569026221499E-4</v>
      </c>
    </row>
    <row r="91" spans="1:15" ht="15.95" customHeight="1" x14ac:dyDescent="0.2">
      <c r="A91" s="41" t="s">
        <v>125</v>
      </c>
      <c r="B91" s="100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28">
        <f t="shared" si="10"/>
        <v>10500</v>
      </c>
      <c r="M91" s="28">
        <f>970+65.15+174.99</f>
        <v>1210.1400000000001</v>
      </c>
      <c r="N91" s="28">
        <f t="shared" si="3"/>
        <v>9289.86</v>
      </c>
      <c r="O91" s="38">
        <f t="shared" si="11"/>
        <v>9.4928319564240038E-4</v>
      </c>
    </row>
    <row r="92" spans="1:15" ht="15.95" customHeight="1" x14ac:dyDescent="0.2">
      <c r="A92" s="41" t="s">
        <v>126</v>
      </c>
      <c r="B92" s="100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28">
        <f t="shared" ref="L92" si="13">C92+D92-E92+F92-G92+H92+J92-I92-K92</f>
        <v>3050</v>
      </c>
      <c r="M92" s="28">
        <f>394.5+294.3</f>
        <v>688.8</v>
      </c>
      <c r="N92" s="28">
        <f t="shared" si="3"/>
        <v>2361.1999999999998</v>
      </c>
      <c r="O92" s="38">
        <f t="shared" si="11"/>
        <v>5.403228264155266E-4</v>
      </c>
    </row>
    <row r="93" spans="1:15" ht="15.95" customHeight="1" x14ac:dyDescent="0.2">
      <c r="A93" s="41" t="s">
        <v>127</v>
      </c>
      <c r="B93" s="100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28">
        <f t="shared" si="10"/>
        <v>875</v>
      </c>
      <c r="M93" s="28"/>
      <c r="N93" s="28">
        <f t="shared" si="3"/>
        <v>875</v>
      </c>
      <c r="O93" s="38">
        <f t="shared" si="11"/>
        <v>0</v>
      </c>
    </row>
    <row r="94" spans="1:15" ht="15.95" customHeight="1" x14ac:dyDescent="0.2">
      <c r="A94" s="41" t="s">
        <v>128</v>
      </c>
      <c r="B94" s="100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28">
        <f t="shared" si="10"/>
        <v>5500</v>
      </c>
      <c r="M94" s="28"/>
      <c r="N94" s="28">
        <f t="shared" si="3"/>
        <v>5500</v>
      </c>
      <c r="O94" s="38">
        <f t="shared" si="11"/>
        <v>0</v>
      </c>
    </row>
    <row r="95" spans="1:15" ht="15.95" customHeight="1" x14ac:dyDescent="0.2">
      <c r="A95" s="41" t="s">
        <v>129</v>
      </c>
      <c r="B95" s="100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28">
        <f t="shared" si="10"/>
        <v>2700</v>
      </c>
      <c r="M95" s="28">
        <v>527.45000000000005</v>
      </c>
      <c r="N95" s="28">
        <f t="shared" si="3"/>
        <v>2172.5500000000002</v>
      </c>
      <c r="O95" s="38">
        <f t="shared" si="11"/>
        <v>4.137533025448164E-4</v>
      </c>
    </row>
    <row r="96" spans="1:15" ht="15.95" customHeight="1" x14ac:dyDescent="0.2">
      <c r="A96" s="41" t="s">
        <v>196</v>
      </c>
      <c r="B96" s="100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28">
        <f t="shared" si="10"/>
        <v>2800</v>
      </c>
      <c r="M96" s="28">
        <f>89+40</f>
        <v>129</v>
      </c>
      <c r="N96" s="28">
        <f t="shared" si="3"/>
        <v>2671</v>
      </c>
      <c r="O96" s="38">
        <f t="shared" si="11"/>
        <v>1.0119286383217615E-4</v>
      </c>
    </row>
    <row r="97" spans="1:15" ht="15.95" customHeight="1" x14ac:dyDescent="0.2">
      <c r="A97" s="41" t="s">
        <v>130</v>
      </c>
      <c r="B97" s="100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28">
        <f t="shared" si="10"/>
        <v>8500</v>
      </c>
      <c r="M97" s="28">
        <f>687.48+165+140</f>
        <v>992.48</v>
      </c>
      <c r="N97" s="28">
        <f t="shared" si="3"/>
        <v>7507.52</v>
      </c>
      <c r="O97" s="38">
        <f t="shared" si="11"/>
        <v>7.7854181004773787E-4</v>
      </c>
    </row>
    <row r="98" spans="1:15" ht="15.95" customHeight="1" x14ac:dyDescent="0.2">
      <c r="A98" s="41" t="s">
        <v>131</v>
      </c>
      <c r="B98" s="100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28">
        <f t="shared" si="10"/>
        <v>6000</v>
      </c>
      <c r="M98" s="28">
        <v>342.5</v>
      </c>
      <c r="N98" s="28">
        <f t="shared" si="3"/>
        <v>5657.5</v>
      </c>
      <c r="O98" s="38">
        <f t="shared" si="11"/>
        <v>2.6867097567845219E-4</v>
      </c>
    </row>
    <row r="99" spans="1:15" ht="15.95" customHeight="1" x14ac:dyDescent="0.2">
      <c r="A99" s="41" t="s">
        <v>132</v>
      </c>
      <c r="B99" s="100" t="s">
        <v>69</v>
      </c>
      <c r="C99" s="28">
        <v>17500</v>
      </c>
      <c r="D99" s="28"/>
      <c r="E99" s="28"/>
      <c r="F99" s="44"/>
      <c r="G99" s="44"/>
      <c r="H99" s="28"/>
      <c r="I99" s="28"/>
      <c r="J99" s="44"/>
      <c r="K99" s="44"/>
      <c r="L99" s="28">
        <f t="shared" si="10"/>
        <v>17500</v>
      </c>
      <c r="M99" s="28">
        <v>862.5</v>
      </c>
      <c r="N99" s="28">
        <f t="shared" si="3"/>
        <v>16637.5</v>
      </c>
      <c r="O99" s="38">
        <f t="shared" si="11"/>
        <v>6.7658019422675911E-4</v>
      </c>
    </row>
    <row r="100" spans="1:15" ht="15.95" customHeight="1" x14ac:dyDescent="0.2">
      <c r="A100" s="41" t="s">
        <v>133</v>
      </c>
      <c r="B100" s="100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28">
        <f t="shared" si="10"/>
        <v>3000</v>
      </c>
      <c r="M100" s="28">
        <f>691.35+274.07+29.5</f>
        <v>994.92000000000007</v>
      </c>
      <c r="N100" s="28">
        <f t="shared" si="3"/>
        <v>2005.08</v>
      </c>
      <c r="O100" s="38">
        <f t="shared" si="11"/>
        <v>7.8045584561169535E-4</v>
      </c>
    </row>
    <row r="101" spans="1:15" ht="15.95" customHeight="1" x14ac:dyDescent="0.2">
      <c r="A101" s="41" t="s">
        <v>134</v>
      </c>
      <c r="B101" s="100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0"/>
        <v>1500</v>
      </c>
      <c r="M101" s="28"/>
      <c r="N101" s="28">
        <f t="shared" ref="N101:N139" si="14">L101-M101</f>
        <v>1500</v>
      </c>
      <c r="O101" s="38">
        <f t="shared" si="11"/>
        <v>0</v>
      </c>
    </row>
    <row r="102" spans="1:15" ht="15.95" customHeight="1" x14ac:dyDescent="0.2">
      <c r="A102" s="41" t="s">
        <v>135</v>
      </c>
      <c r="B102" s="100" t="s">
        <v>70</v>
      </c>
      <c r="C102" s="28">
        <v>181653.08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0"/>
        <v>181653.08</v>
      </c>
      <c r="M102" s="28"/>
      <c r="N102" s="28">
        <f t="shared" si="14"/>
        <v>181653.08</v>
      </c>
      <c r="O102" s="38">
        <f t="shared" si="11"/>
        <v>0</v>
      </c>
    </row>
    <row r="103" spans="1:15" ht="15.95" hidden="1" customHeight="1" x14ac:dyDescent="0.2">
      <c r="A103" s="41">
        <v>272</v>
      </c>
      <c r="B103" s="100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28">
        <f t="shared" si="10"/>
        <v>0</v>
      </c>
      <c r="M103" s="28"/>
      <c r="N103" s="28">
        <f t="shared" si="14"/>
        <v>0</v>
      </c>
      <c r="O103" s="38">
        <f t="shared" si="11"/>
        <v>0</v>
      </c>
    </row>
    <row r="104" spans="1:15" ht="15.95" hidden="1" customHeight="1" x14ac:dyDescent="0.2">
      <c r="A104" s="41" t="s">
        <v>136</v>
      </c>
      <c r="B104" s="100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0"/>
        <v>0</v>
      </c>
      <c r="M104" s="28"/>
      <c r="N104" s="28">
        <f t="shared" si="14"/>
        <v>0</v>
      </c>
      <c r="O104" s="38">
        <f t="shared" si="11"/>
        <v>0</v>
      </c>
    </row>
    <row r="105" spans="1:15" ht="15.95" customHeight="1" x14ac:dyDescent="0.2">
      <c r="A105" s="41">
        <v>274</v>
      </c>
      <c r="B105" s="100" t="s">
        <v>71</v>
      </c>
      <c r="C105" s="28">
        <v>1500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0"/>
        <v>1500</v>
      </c>
      <c r="M105" s="28"/>
      <c r="N105" s="28">
        <f t="shared" si="14"/>
        <v>1500</v>
      </c>
      <c r="O105" s="38">
        <f t="shared" si="11"/>
        <v>0</v>
      </c>
    </row>
    <row r="106" spans="1:15" ht="15.95" hidden="1" customHeight="1" x14ac:dyDescent="0.2">
      <c r="A106" s="41">
        <v>275</v>
      </c>
      <c r="B106" s="100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28">
        <f t="shared" si="10"/>
        <v>0</v>
      </c>
      <c r="M106" s="28"/>
      <c r="N106" s="28">
        <f t="shared" si="14"/>
        <v>0</v>
      </c>
      <c r="O106" s="38">
        <f t="shared" si="11"/>
        <v>0</v>
      </c>
    </row>
    <row r="107" spans="1:15" ht="15.95" customHeight="1" x14ac:dyDescent="0.2">
      <c r="A107" s="41">
        <v>279</v>
      </c>
      <c r="B107" s="100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0"/>
        <v>750</v>
      </c>
      <c r="M107" s="28"/>
      <c r="N107" s="28">
        <f t="shared" si="14"/>
        <v>750</v>
      </c>
      <c r="O107" s="38">
        <f t="shared" si="11"/>
        <v>0</v>
      </c>
    </row>
    <row r="108" spans="1:15" ht="15.95" hidden="1" customHeight="1" x14ac:dyDescent="0.2">
      <c r="A108" s="41">
        <v>281</v>
      </c>
      <c r="B108" s="100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0"/>
        <v>0</v>
      </c>
      <c r="M108" s="28"/>
      <c r="N108" s="28">
        <f t="shared" si="14"/>
        <v>0</v>
      </c>
      <c r="O108" s="38">
        <f t="shared" si="11"/>
        <v>0</v>
      </c>
    </row>
    <row r="109" spans="1:15" ht="15.95" customHeight="1" x14ac:dyDescent="0.2">
      <c r="A109" s="41" t="s">
        <v>137</v>
      </c>
      <c r="B109" s="100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0"/>
        <v>4800</v>
      </c>
      <c r="M109" s="28">
        <f>31.6+60.84</f>
        <v>92.44</v>
      </c>
      <c r="N109" s="28">
        <f t="shared" si="14"/>
        <v>4707.5600000000004</v>
      </c>
      <c r="O109" s="38">
        <f t="shared" si="11"/>
        <v>7.2513708005010564E-5</v>
      </c>
    </row>
    <row r="110" spans="1:15" ht="15.95" customHeight="1" x14ac:dyDescent="0.2">
      <c r="A110" s="41" t="s">
        <v>138</v>
      </c>
      <c r="B110" s="100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0"/>
        <v>28800</v>
      </c>
      <c r="M110" s="28"/>
      <c r="N110" s="28">
        <f t="shared" si="14"/>
        <v>28800</v>
      </c>
      <c r="O110" s="38">
        <f t="shared" si="11"/>
        <v>0</v>
      </c>
    </row>
    <row r="111" spans="1:15" ht="15.95" customHeight="1" x14ac:dyDescent="0.2">
      <c r="A111" s="41" t="s">
        <v>139</v>
      </c>
      <c r="B111" s="100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28">
        <f>C111+D111-E111+F111-G111+H111+J111-I111-K111</f>
        <v>1300000</v>
      </c>
      <c r="M111" s="28"/>
      <c r="N111" s="28">
        <f t="shared" si="14"/>
        <v>1300000</v>
      </c>
      <c r="O111" s="38">
        <f t="shared" si="11"/>
        <v>0</v>
      </c>
    </row>
    <row r="112" spans="1:15" ht="15.95" customHeight="1" x14ac:dyDescent="0.2">
      <c r="A112" s="41">
        <v>286</v>
      </c>
      <c r="B112" s="100" t="s">
        <v>207</v>
      </c>
      <c r="C112" s="28">
        <v>1500</v>
      </c>
      <c r="D112" s="28"/>
      <c r="E112" s="28"/>
      <c r="F112" s="44"/>
      <c r="G112" s="44"/>
      <c r="H112" s="28"/>
      <c r="I112" s="28"/>
      <c r="J112" s="44"/>
      <c r="K112" s="44"/>
      <c r="L112" s="28">
        <f t="shared" si="10"/>
        <v>1500</v>
      </c>
      <c r="M112" s="28">
        <v>118</v>
      </c>
      <c r="N112" s="28">
        <f t="shared" si="14"/>
        <v>1382</v>
      </c>
      <c r="O112" s="38">
        <f t="shared" si="11"/>
        <v>9.2564014978269659E-5</v>
      </c>
    </row>
    <row r="113" spans="1:15" ht="15.95" hidden="1" customHeight="1" x14ac:dyDescent="0.2">
      <c r="A113" s="41">
        <v>289</v>
      </c>
      <c r="B113" s="100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28">
        <f t="shared" si="10"/>
        <v>0</v>
      </c>
      <c r="M113" s="28"/>
      <c r="N113" s="28">
        <f t="shared" si="14"/>
        <v>0</v>
      </c>
      <c r="O113" s="38">
        <f t="shared" si="11"/>
        <v>0</v>
      </c>
    </row>
    <row r="114" spans="1:15" ht="15.95" customHeight="1" x14ac:dyDescent="0.2">
      <c r="A114" s="41" t="s">
        <v>140</v>
      </c>
      <c r="B114" s="100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0"/>
        <v>6600</v>
      </c>
      <c r="M114" s="28">
        <f>170.3+371+88.55</f>
        <v>629.84999999999991</v>
      </c>
      <c r="N114" s="28">
        <f t="shared" si="14"/>
        <v>5970.15</v>
      </c>
      <c r="O114" s="38">
        <f t="shared" si="11"/>
        <v>4.940800409666367E-4</v>
      </c>
    </row>
    <row r="115" spans="1:15" ht="33" customHeight="1" x14ac:dyDescent="0.2">
      <c r="A115" s="41" t="s">
        <v>141</v>
      </c>
      <c r="B115" s="100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0"/>
        <v>4000</v>
      </c>
      <c r="M115" s="28">
        <f>274.1+117.25+110.65</f>
        <v>502</v>
      </c>
      <c r="N115" s="28">
        <f t="shared" si="14"/>
        <v>3498</v>
      </c>
      <c r="O115" s="38">
        <f t="shared" si="11"/>
        <v>3.9378928406009632E-4</v>
      </c>
    </row>
    <row r="116" spans="1:15" ht="15.95" customHeight="1" x14ac:dyDescent="0.2">
      <c r="A116" s="41" t="s">
        <v>142</v>
      </c>
      <c r="B116" s="100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0"/>
        <v>25251.9</v>
      </c>
      <c r="M116" s="28">
        <v>4500</v>
      </c>
      <c r="N116" s="28">
        <f t="shared" si="14"/>
        <v>20751.900000000001</v>
      </c>
      <c r="O116" s="38">
        <f t="shared" si="11"/>
        <v>3.5299836220526563E-3</v>
      </c>
    </row>
    <row r="117" spans="1:15" ht="15" customHeight="1" x14ac:dyDescent="0.2">
      <c r="A117" s="41" t="s">
        <v>143</v>
      </c>
      <c r="B117" s="100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0"/>
        <v>2000</v>
      </c>
      <c r="M117" s="28"/>
      <c r="N117" s="28">
        <f t="shared" si="14"/>
        <v>2000</v>
      </c>
      <c r="O117" s="38">
        <f t="shared" si="11"/>
        <v>0</v>
      </c>
    </row>
    <row r="118" spans="1:15" ht="31.5" customHeight="1" x14ac:dyDescent="0.2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0"/>
        <v>9500</v>
      </c>
      <c r="M118" s="28"/>
      <c r="N118" s="28">
        <f t="shared" si="14"/>
        <v>9500</v>
      </c>
      <c r="O118" s="38">
        <f t="shared" si="11"/>
        <v>0</v>
      </c>
    </row>
    <row r="119" spans="1:15" ht="15.95" customHeight="1" x14ac:dyDescent="0.2">
      <c r="A119" s="41" t="s">
        <v>145</v>
      </c>
      <c r="B119" s="100" t="s">
        <v>77</v>
      </c>
      <c r="C119" s="28">
        <v>76000</v>
      </c>
      <c r="D119" s="28"/>
      <c r="E119" s="28"/>
      <c r="F119" s="44"/>
      <c r="G119" s="44"/>
      <c r="H119" s="28"/>
      <c r="I119" s="28"/>
      <c r="J119" s="44"/>
      <c r="K119" s="44"/>
      <c r="L119" s="28">
        <f t="shared" si="10"/>
        <v>76000</v>
      </c>
      <c r="M119" s="28"/>
      <c r="N119" s="28">
        <f t="shared" si="14"/>
        <v>76000</v>
      </c>
      <c r="O119" s="38">
        <f t="shared" si="11"/>
        <v>0</v>
      </c>
    </row>
    <row r="120" spans="1:15" ht="15.95" customHeight="1" x14ac:dyDescent="0.2">
      <c r="A120" s="41" t="s">
        <v>146</v>
      </c>
      <c r="B120" s="100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28">
        <f t="shared" si="10"/>
        <v>9500</v>
      </c>
      <c r="M120" s="28">
        <f>256.15+122.2</f>
        <v>378.34999999999997</v>
      </c>
      <c r="N120" s="28">
        <f t="shared" si="14"/>
        <v>9121.65</v>
      </c>
      <c r="O120" s="38">
        <f t="shared" si="11"/>
        <v>2.9679317853413832E-4</v>
      </c>
    </row>
    <row r="121" spans="1:15" ht="15.95" customHeight="1" x14ac:dyDescent="0.2">
      <c r="A121" s="41"/>
      <c r="B121" s="100"/>
      <c r="C121" s="28"/>
      <c r="D121" s="28"/>
      <c r="E121" s="28"/>
      <c r="F121" s="44"/>
      <c r="G121" s="44"/>
      <c r="H121" s="28"/>
      <c r="I121" s="28"/>
      <c r="J121" s="44"/>
      <c r="K121" s="44"/>
      <c r="L121" s="28"/>
      <c r="M121" s="28"/>
      <c r="N121" s="28"/>
      <c r="O121" s="38"/>
    </row>
    <row r="122" spans="1:15" ht="15.95" customHeight="1" x14ac:dyDescent="0.2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5">
      <c r="A124" s="39">
        <v>3</v>
      </c>
      <c r="B124" s="108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">
      <c r="A125" s="42" t="s">
        <v>211</v>
      </c>
      <c r="B125" s="109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28">
        <f t="shared" ref="L125:L130" si="15">C125+D125-E125+F125-G125+H125+J125-K125</f>
        <v>10000</v>
      </c>
      <c r="M125" s="28"/>
      <c r="N125" s="28">
        <f t="shared" si="14"/>
        <v>10000</v>
      </c>
      <c r="O125" s="38">
        <f>M125/$M$140</f>
        <v>0</v>
      </c>
    </row>
    <row r="126" spans="1:15" ht="15.95" hidden="1" customHeight="1" x14ac:dyDescent="0.2">
      <c r="A126" s="42" t="s">
        <v>80</v>
      </c>
      <c r="B126" s="109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si="15"/>
        <v>0</v>
      </c>
      <c r="M126" s="28"/>
      <c r="N126" s="28">
        <f t="shared" si="14"/>
        <v>0</v>
      </c>
      <c r="O126" s="38">
        <f>M126/$M$140</f>
        <v>0</v>
      </c>
    </row>
    <row r="127" spans="1:15" ht="15.95" customHeight="1" x14ac:dyDescent="0.2">
      <c r="A127" s="42" t="s">
        <v>214</v>
      </c>
      <c r="B127" s="109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5"/>
        <v>304035</v>
      </c>
      <c r="M127" s="28"/>
      <c r="N127" s="28">
        <f t="shared" si="14"/>
        <v>304035</v>
      </c>
      <c r="O127" s="38">
        <f>M127/$M$140</f>
        <v>0</v>
      </c>
    </row>
    <row r="128" spans="1:15" ht="15.95" customHeight="1" x14ac:dyDescent="0.2">
      <c r="A128" s="42" t="s">
        <v>216</v>
      </c>
      <c r="B128" s="109" t="s">
        <v>217</v>
      </c>
      <c r="C128" s="44">
        <v>1500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5"/>
        <v>1500</v>
      </c>
      <c r="M128" s="28"/>
      <c r="N128" s="28">
        <f t="shared" si="14"/>
        <v>1500</v>
      </c>
      <c r="O128" s="38">
        <f>M128/$M$140</f>
        <v>0</v>
      </c>
    </row>
    <row r="129" spans="1:15" ht="15.95" customHeight="1" x14ac:dyDescent="0.2">
      <c r="A129" s="42">
        <v>328</v>
      </c>
      <c r="B129" s="109" t="s">
        <v>234</v>
      </c>
      <c r="C129" s="44">
        <v>40000</v>
      </c>
      <c r="D129" s="28"/>
      <c r="E129" s="28"/>
      <c r="F129" s="44"/>
      <c r="G129" s="44"/>
      <c r="H129" s="28"/>
      <c r="I129" s="28"/>
      <c r="J129" s="44"/>
      <c r="K129" s="44"/>
      <c r="L129" s="28">
        <f t="shared" si="15"/>
        <v>40000</v>
      </c>
      <c r="M129" s="28"/>
      <c r="N129" s="28">
        <f t="shared" si="14"/>
        <v>40000</v>
      </c>
      <c r="O129" s="38">
        <f>+M129/M140</f>
        <v>0</v>
      </c>
    </row>
    <row r="130" spans="1:15" ht="15.95" customHeight="1" x14ac:dyDescent="0.2">
      <c r="A130" s="42" t="s">
        <v>218</v>
      </c>
      <c r="B130" s="109" t="s">
        <v>219</v>
      </c>
      <c r="C130" s="44">
        <v>14300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5"/>
        <v>14300</v>
      </c>
      <c r="M130" s="28"/>
      <c r="N130" s="28">
        <f t="shared" si="14"/>
        <v>14300</v>
      </c>
      <c r="O130" s="38">
        <f>M130/$M$140</f>
        <v>0</v>
      </c>
    </row>
    <row r="131" spans="1:15" ht="15.95" hidden="1" customHeight="1" x14ac:dyDescent="0.2">
      <c r="A131" s="42" t="s">
        <v>220</v>
      </c>
      <c r="B131" s="109" t="s">
        <v>221</v>
      </c>
      <c r="C131" s="44">
        <v>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ref="L131" si="16">C131+D131-E131+F131-G131+J131-K131</f>
        <v>0</v>
      </c>
      <c r="M131" s="28"/>
      <c r="N131" s="28">
        <f t="shared" si="14"/>
        <v>0</v>
      </c>
      <c r="O131" s="38">
        <f>M131/$M$140</f>
        <v>0</v>
      </c>
    </row>
    <row r="132" spans="1:15" ht="15.95" customHeight="1" x14ac:dyDescent="0.2">
      <c r="A132" s="42"/>
      <c r="B132" s="109"/>
      <c r="C132" s="44"/>
      <c r="D132" s="28"/>
      <c r="E132" s="28"/>
      <c r="F132" s="44"/>
      <c r="G132" s="44"/>
      <c r="H132" s="28"/>
      <c r="I132" s="28"/>
      <c r="J132" s="44"/>
      <c r="K132" s="44"/>
      <c r="L132" s="28"/>
      <c r="M132" s="28"/>
      <c r="N132" s="28"/>
      <c r="O132" s="38"/>
    </row>
    <row r="133" spans="1:15" ht="15.95" customHeight="1" x14ac:dyDescent="0.2">
      <c r="A133" s="41"/>
      <c r="B133" s="100"/>
      <c r="C133" s="28"/>
      <c r="D133" s="28"/>
      <c r="E133" s="28"/>
      <c r="F133" s="44"/>
      <c r="G133" s="44"/>
      <c r="H133" s="28"/>
      <c r="I133" s="28"/>
      <c r="J133" s="44"/>
      <c r="K133" s="44"/>
      <c r="L133" s="28"/>
      <c r="M133" s="28"/>
      <c r="N133" s="28"/>
      <c r="O133" s="38"/>
    </row>
    <row r="134" spans="1:15" ht="15.95" customHeight="1" x14ac:dyDescent="0.25">
      <c r="A134" s="39">
        <v>4</v>
      </c>
      <c r="B134" s="108" t="s">
        <v>81</v>
      </c>
      <c r="C134" s="26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">
      <c r="A135" s="41" t="s">
        <v>222</v>
      </c>
      <c r="B135" s="100" t="s">
        <v>82</v>
      </c>
      <c r="C135" s="28">
        <v>185900</v>
      </c>
      <c r="D135" s="28"/>
      <c r="E135" s="28"/>
      <c r="F135" s="44"/>
      <c r="G135" s="44"/>
      <c r="H135" s="28"/>
      <c r="I135" s="28"/>
      <c r="J135" s="44"/>
      <c r="K135" s="44"/>
      <c r="L135" s="28">
        <f t="shared" ref="L135:L136" si="17">C135+D135-E135+F135-G135+H135+J135-K135</f>
        <v>185900</v>
      </c>
      <c r="M135" s="28"/>
      <c r="N135" s="28">
        <f t="shared" si="14"/>
        <v>185900</v>
      </c>
      <c r="O135" s="38">
        <f>M135/$M$140</f>
        <v>0</v>
      </c>
    </row>
    <row r="136" spans="1:15" ht="15.95" customHeight="1" x14ac:dyDescent="0.2">
      <c r="A136" s="41" t="s">
        <v>223</v>
      </c>
      <c r="B136" s="100" t="s">
        <v>224</v>
      </c>
      <c r="C136" s="28">
        <v>7170</v>
      </c>
      <c r="D136" s="28"/>
      <c r="E136" s="28"/>
      <c r="F136" s="28"/>
      <c r="G136" s="28"/>
      <c r="H136" s="28"/>
      <c r="I136" s="28"/>
      <c r="J136" s="44"/>
      <c r="K136" s="44"/>
      <c r="L136" s="28">
        <f t="shared" si="17"/>
        <v>7170</v>
      </c>
      <c r="M136" s="28"/>
      <c r="N136" s="28">
        <f t="shared" si="14"/>
        <v>7170</v>
      </c>
      <c r="O136" s="38">
        <f>M136/$M$140</f>
        <v>0</v>
      </c>
    </row>
    <row r="137" spans="1:15" ht="15.95" customHeight="1" x14ac:dyDescent="0.2">
      <c r="A137" s="41" t="s">
        <v>225</v>
      </c>
      <c r="B137" s="100" t="s">
        <v>226</v>
      </c>
      <c r="C137" s="28">
        <v>70000</v>
      </c>
      <c r="D137" s="28"/>
      <c r="E137" s="28"/>
      <c r="F137" s="28"/>
      <c r="G137" s="28"/>
      <c r="H137" s="28"/>
      <c r="I137" s="28"/>
      <c r="J137" s="44"/>
      <c r="K137" s="44"/>
      <c r="L137" s="28">
        <f>C137+D137-E137+F137-G137+H137+J137-K137</f>
        <v>70000</v>
      </c>
      <c r="M137" s="28"/>
      <c r="N137" s="28">
        <f t="shared" si="14"/>
        <v>70000</v>
      </c>
      <c r="O137" s="38">
        <f>M137/$M$140</f>
        <v>0</v>
      </c>
    </row>
    <row r="138" spans="1:15" ht="31.5" customHeight="1" x14ac:dyDescent="0.2">
      <c r="A138" s="41">
        <v>453</v>
      </c>
      <c r="B138" s="100" t="s">
        <v>264</v>
      </c>
      <c r="C138" s="28">
        <v>0</v>
      </c>
      <c r="D138" s="28"/>
      <c r="E138" s="28"/>
      <c r="F138" s="28">
        <v>120000</v>
      </c>
      <c r="G138" s="28"/>
      <c r="H138" s="28"/>
      <c r="I138" s="28"/>
      <c r="J138" s="44"/>
      <c r="K138" s="44"/>
      <c r="L138" s="28">
        <f>C138+D138-E138+F138-G138+H138+J138-K138</f>
        <v>120000</v>
      </c>
      <c r="M138" s="28"/>
      <c r="N138" s="28">
        <f t="shared" si="14"/>
        <v>120000</v>
      </c>
      <c r="O138" s="38"/>
    </row>
    <row r="139" spans="1:15" ht="34.5" customHeight="1" thickBot="1" x14ac:dyDescent="0.25">
      <c r="A139" s="41" t="s">
        <v>227</v>
      </c>
      <c r="B139" s="100" t="s">
        <v>228</v>
      </c>
      <c r="C139" s="28">
        <v>8750</v>
      </c>
      <c r="D139" s="28"/>
      <c r="E139" s="28"/>
      <c r="F139" s="28"/>
      <c r="G139" s="28"/>
      <c r="H139" s="28"/>
      <c r="I139" s="28"/>
      <c r="J139" s="44"/>
      <c r="K139" s="44"/>
      <c r="L139" s="28">
        <f t="shared" ref="L139" si="18">C139+D139-E139+F139-G139+H139+J139-K139</f>
        <v>8750</v>
      </c>
      <c r="M139" s="28"/>
      <c r="N139" s="28">
        <f t="shared" si="14"/>
        <v>8750</v>
      </c>
      <c r="O139" s="38">
        <f>M139/$M$140</f>
        <v>0</v>
      </c>
    </row>
    <row r="140" spans="1:15" ht="18" customHeight="1" thickBot="1" x14ac:dyDescent="0.3">
      <c r="A140" s="32"/>
      <c r="B140" s="106" t="s">
        <v>90</v>
      </c>
      <c r="C140" s="34">
        <f t="shared" ref="C140:N140" si="19">SUM(C31:C139)</f>
        <v>8258523.6200000001</v>
      </c>
      <c r="D140" s="34">
        <f t="shared" si="19"/>
        <v>0</v>
      </c>
      <c r="E140" s="34">
        <f t="shared" si="19"/>
        <v>0</v>
      </c>
      <c r="F140" s="34">
        <f t="shared" si="19"/>
        <v>584600</v>
      </c>
      <c r="G140" s="34">
        <f t="shared" si="19"/>
        <v>584600</v>
      </c>
      <c r="H140" s="34">
        <f t="shared" si="19"/>
        <v>0</v>
      </c>
      <c r="I140" s="34">
        <f t="shared" si="19"/>
        <v>0</v>
      </c>
      <c r="J140" s="64">
        <f t="shared" si="19"/>
        <v>0</v>
      </c>
      <c r="K140" s="64">
        <f t="shared" si="19"/>
        <v>0</v>
      </c>
      <c r="L140" s="34">
        <f>SUM(L31:L139)</f>
        <v>8258523.620000001</v>
      </c>
      <c r="M140" s="34">
        <f>SUM(M31:M139)</f>
        <v>1274793.4499999995</v>
      </c>
      <c r="N140" s="34">
        <f t="shared" si="19"/>
        <v>6983730.1699999999</v>
      </c>
      <c r="O140" s="45">
        <v>1</v>
      </c>
    </row>
    <row r="141" spans="1:15" x14ac:dyDescent="0.2">
      <c r="A141" s="46"/>
      <c r="B141" s="110"/>
      <c r="C141" s="77"/>
      <c r="D141" s="76"/>
      <c r="E141" s="47"/>
      <c r="F141" s="47"/>
      <c r="G141" s="47"/>
      <c r="H141" s="47"/>
      <c r="I141" s="47"/>
      <c r="J141" s="65"/>
      <c r="K141" s="65"/>
      <c r="L141" s="47"/>
      <c r="M141" s="47"/>
      <c r="N141" s="47"/>
    </row>
    <row r="142" spans="1:15" ht="15.75" thickBot="1" x14ac:dyDescent="0.25">
      <c r="E142" s="12"/>
      <c r="F142" s="4"/>
      <c r="L142" s="14"/>
      <c r="M142" s="4"/>
    </row>
    <row r="143" spans="1:15" ht="15.75" x14ac:dyDescent="0.25">
      <c r="A143" s="1" t="s">
        <v>83</v>
      </c>
      <c r="B143" s="112"/>
      <c r="C143" s="3"/>
      <c r="D143" s="4"/>
      <c r="E143" s="4"/>
      <c r="F143" s="4"/>
      <c r="G143" s="4"/>
      <c r="H143" s="4"/>
      <c r="I143" s="4"/>
      <c r="J143" s="66"/>
      <c r="K143" s="66"/>
      <c r="L143" s="4"/>
      <c r="M143" s="4"/>
    </row>
    <row r="144" spans="1:15" ht="15.75" x14ac:dyDescent="0.25">
      <c r="A144" s="5" t="s">
        <v>2</v>
      </c>
      <c r="B144" s="101"/>
      <c r="C144" s="7"/>
      <c r="D144" s="4"/>
      <c r="E144" s="4"/>
      <c r="F144" s="4"/>
      <c r="G144" s="4"/>
      <c r="H144" s="4"/>
      <c r="I144" s="4"/>
      <c r="J144" s="66"/>
      <c r="K144" s="66"/>
      <c r="L144" s="4"/>
      <c r="M144" s="4"/>
    </row>
    <row r="145" spans="1:13" ht="5.0999999999999996" customHeight="1" thickBot="1" x14ac:dyDescent="0.25">
      <c r="A145" s="8"/>
      <c r="B145" s="113"/>
      <c r="C145" s="10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6.95" customHeight="1" x14ac:dyDescent="0.2">
      <c r="A146" s="48"/>
      <c r="B146" s="114"/>
      <c r="C146" s="50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x14ac:dyDescent="0.2">
      <c r="A147" s="51" t="s">
        <v>84</v>
      </c>
      <c r="B147" s="115"/>
      <c r="C147" s="53"/>
      <c r="D147" s="4"/>
      <c r="E147" s="4"/>
      <c r="F147" s="4"/>
      <c r="G147" s="4"/>
      <c r="H147" s="4"/>
      <c r="I147" s="4"/>
      <c r="J147" s="66"/>
      <c r="K147" s="66"/>
      <c r="L147" s="4"/>
    </row>
    <row r="148" spans="1:13" x14ac:dyDescent="0.2">
      <c r="A148" s="54" t="s">
        <v>257</v>
      </c>
      <c r="B148" s="115"/>
      <c r="C148" s="69">
        <v>1808838.07</v>
      </c>
      <c r="D148" s="47"/>
      <c r="E148" s="4"/>
      <c r="F148" s="4"/>
      <c r="G148" s="4"/>
      <c r="H148" s="4"/>
      <c r="I148" s="4"/>
      <c r="J148" s="66"/>
      <c r="K148" s="66"/>
      <c r="L148" s="4"/>
    </row>
    <row r="149" spans="1:13" x14ac:dyDescent="0.2">
      <c r="A149" s="54" t="s">
        <v>258</v>
      </c>
      <c r="B149" s="115"/>
      <c r="C149" s="69">
        <v>-22528.77</v>
      </c>
      <c r="D149" s="47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249</v>
      </c>
      <c r="B150" s="115"/>
      <c r="C150" s="69"/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83" t="s">
        <v>239</v>
      </c>
      <c r="B151" s="115"/>
      <c r="C151" s="69"/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83" t="s">
        <v>259</v>
      </c>
      <c r="B152" s="115"/>
      <c r="C152" s="69">
        <f>1174639.32+309594.02-600</f>
        <v>1483633.34</v>
      </c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54" t="s">
        <v>85</v>
      </c>
      <c r="B153" s="115"/>
      <c r="C153" s="69">
        <f>M26</f>
        <v>840808.7</v>
      </c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54" t="s">
        <v>86</v>
      </c>
      <c r="B154" s="115"/>
      <c r="C154" s="70">
        <f>-M140</f>
        <v>-1274793.4499999995</v>
      </c>
      <c r="D154" s="4"/>
      <c r="E154" s="4"/>
      <c r="F154" s="4"/>
      <c r="G154" s="4"/>
      <c r="H154" s="4"/>
      <c r="I154" s="4"/>
      <c r="J154" s="66"/>
      <c r="K154" s="66"/>
      <c r="L154" s="4"/>
    </row>
    <row r="155" spans="1:13" ht="15.75" x14ac:dyDescent="0.25">
      <c r="A155" s="55" t="s">
        <v>87</v>
      </c>
      <c r="B155" s="116"/>
      <c r="C155" s="71">
        <f>SUM(C148:C154)</f>
        <v>2835957.8900000006</v>
      </c>
      <c r="D155" s="4"/>
      <c r="E155" s="4"/>
      <c r="F155" s="4"/>
      <c r="G155" s="4"/>
      <c r="H155" s="4"/>
      <c r="I155" s="4"/>
      <c r="J155" s="66"/>
      <c r="K155" s="66"/>
      <c r="L155" s="4"/>
    </row>
    <row r="156" spans="1:13" ht="15.75" x14ac:dyDescent="0.25">
      <c r="A156" s="55"/>
      <c r="B156" s="116"/>
      <c r="C156" s="71"/>
      <c r="D156" s="4"/>
      <c r="E156" s="4"/>
      <c r="F156" s="4"/>
      <c r="G156" s="4"/>
      <c r="H156" s="4"/>
      <c r="I156" s="4"/>
      <c r="J156" s="66"/>
      <c r="K156" s="66"/>
      <c r="L156" s="4"/>
    </row>
    <row r="157" spans="1:13" x14ac:dyDescent="0.2">
      <c r="A157" s="51" t="s">
        <v>88</v>
      </c>
      <c r="B157" s="115"/>
      <c r="C157" s="69"/>
      <c r="D157" s="4"/>
      <c r="E157" s="4"/>
      <c r="F157" s="4"/>
      <c r="G157" s="4"/>
      <c r="H157" s="4"/>
      <c r="I157" s="4"/>
      <c r="J157" s="66"/>
      <c r="K157" s="66"/>
      <c r="L157" s="4"/>
    </row>
    <row r="158" spans="1:13" ht="12" customHeight="1" x14ac:dyDescent="0.2">
      <c r="A158" s="54" t="s">
        <v>147</v>
      </c>
      <c r="B158" s="115"/>
      <c r="C158" s="69">
        <v>276.89999999999998</v>
      </c>
      <c r="D158" s="4"/>
      <c r="E158" s="4"/>
      <c r="F158" s="4"/>
      <c r="G158" s="4"/>
      <c r="H158" s="4"/>
      <c r="I158" s="4"/>
      <c r="J158" s="66"/>
      <c r="K158" s="66"/>
      <c r="L158" s="4"/>
    </row>
    <row r="159" spans="1:13" ht="12" customHeight="1" x14ac:dyDescent="0.2">
      <c r="A159" s="54" t="s">
        <v>241</v>
      </c>
      <c r="B159" s="115"/>
      <c r="C159" s="69">
        <v>825</v>
      </c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248</v>
      </c>
      <c r="B160" s="115"/>
      <c r="C160" s="69">
        <f>60.91+7520.79</f>
        <v>7581.7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x14ac:dyDescent="0.2">
      <c r="A161" s="54" t="s">
        <v>150</v>
      </c>
      <c r="B161" s="115"/>
      <c r="C161" s="69">
        <f>7363.59+3333.3+690.12+28.04</f>
        <v>11415.050000000001</v>
      </c>
      <c r="D161" s="79"/>
      <c r="E161" s="4"/>
      <c r="F161" s="4"/>
      <c r="G161" s="4"/>
      <c r="H161" s="4"/>
      <c r="I161" s="4"/>
      <c r="J161" s="66"/>
      <c r="K161" s="66"/>
      <c r="L161" s="4"/>
    </row>
    <row r="162" spans="1:13" x14ac:dyDescent="0.2">
      <c r="A162" s="54" t="s">
        <v>149</v>
      </c>
      <c r="B162" s="115"/>
      <c r="C162" s="69">
        <v>1734.25</v>
      </c>
      <c r="D162" s="80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148</v>
      </c>
      <c r="B163" s="115"/>
      <c r="C163" s="69">
        <f>17044.75+25.38+3133.66+0.01</f>
        <v>20203.8</v>
      </c>
      <c r="D163" s="80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253</v>
      </c>
      <c r="B164" s="115"/>
      <c r="C164" s="69">
        <f>191.14+163.24+150</f>
        <v>504.38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/>
      <c r="B165" s="115"/>
      <c r="C165" s="69"/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/>
      <c r="B166" s="115"/>
      <c r="C166" s="70"/>
      <c r="D166" s="81"/>
      <c r="E166" s="82"/>
      <c r="F166" s="4"/>
      <c r="G166" s="4"/>
      <c r="H166" s="4"/>
      <c r="I166" s="4"/>
      <c r="J166" s="66"/>
      <c r="K166" s="66"/>
      <c r="L166" s="4"/>
    </row>
    <row r="167" spans="1:13" ht="15.75" x14ac:dyDescent="0.25">
      <c r="A167" s="55"/>
      <c r="B167" s="116"/>
      <c r="C167" s="71">
        <f>SUM(C158:C166)</f>
        <v>42541.079999999994</v>
      </c>
      <c r="D167" s="81"/>
      <c r="E167" s="82"/>
      <c r="F167" s="4"/>
      <c r="G167" s="4"/>
      <c r="H167" s="4"/>
      <c r="I167" s="4"/>
      <c r="J167" s="66"/>
      <c r="K167" s="66"/>
      <c r="L167" s="4"/>
    </row>
    <row r="168" spans="1:13" ht="2.1" customHeight="1" x14ac:dyDescent="0.25">
      <c r="A168" s="55"/>
      <c r="B168" s="116"/>
      <c r="C168" s="72"/>
      <c r="D168" s="80"/>
      <c r="E168" s="4"/>
      <c r="F168" s="4"/>
      <c r="G168" s="4"/>
      <c r="H168" s="4"/>
      <c r="I168" s="4"/>
      <c r="J168" s="66"/>
      <c r="K168" s="66"/>
      <c r="L168" s="4"/>
    </row>
    <row r="169" spans="1:13" x14ac:dyDescent="0.2">
      <c r="A169" s="54"/>
      <c r="B169" s="115"/>
      <c r="C169" s="69"/>
      <c r="D169" s="80"/>
      <c r="E169" s="4"/>
      <c r="F169" s="4"/>
      <c r="G169" s="4"/>
      <c r="H169" s="4"/>
      <c r="I169" s="4"/>
      <c r="J169" s="66"/>
      <c r="K169" s="66"/>
      <c r="L169" s="4"/>
    </row>
    <row r="170" spans="1:13" ht="2.1" customHeight="1" thickBot="1" x14ac:dyDescent="0.3">
      <c r="A170" s="57" t="s">
        <v>238</v>
      </c>
      <c r="B170" s="117"/>
      <c r="C170" s="68">
        <f>C155+C167</f>
        <v>2878498.9700000007</v>
      </c>
      <c r="D170" s="79"/>
      <c r="E170" s="4"/>
      <c r="F170" s="4"/>
      <c r="G170" s="4"/>
      <c r="H170" s="4"/>
      <c r="I170" s="4"/>
      <c r="J170" s="66"/>
      <c r="K170" s="66"/>
      <c r="L170" s="4"/>
    </row>
    <row r="171" spans="1:13" ht="9.9499999999999993" customHeight="1" x14ac:dyDescent="0.2">
      <c r="A171" s="54"/>
      <c r="B171" s="115"/>
      <c r="C171" s="69"/>
      <c r="D171" s="79"/>
      <c r="E171" s="4"/>
      <c r="F171" s="4"/>
      <c r="G171" s="4"/>
      <c r="H171" s="4"/>
      <c r="I171" s="4"/>
      <c r="J171" s="66"/>
      <c r="K171" s="66"/>
      <c r="L171" s="4"/>
    </row>
    <row r="172" spans="1:13" ht="16.5" thickBot="1" x14ac:dyDescent="0.3">
      <c r="A172" s="57" t="s">
        <v>266</v>
      </c>
      <c r="B172" s="117"/>
      <c r="C172" s="68">
        <f>C155+C167</f>
        <v>2878498.9700000007</v>
      </c>
      <c r="D172" s="81"/>
      <c r="E172" s="4"/>
      <c r="F172" s="4"/>
      <c r="G172" s="4"/>
      <c r="H172" s="4"/>
      <c r="I172" s="4"/>
      <c r="J172" s="66"/>
      <c r="K172" s="66"/>
      <c r="L172" s="4"/>
      <c r="M172" s="4"/>
    </row>
    <row r="173" spans="1:13" x14ac:dyDescent="0.2">
      <c r="A173" s="52"/>
      <c r="B173" s="118"/>
      <c r="C173" s="4"/>
      <c r="D173" s="4"/>
      <c r="E173" s="4"/>
      <c r="F173" s="4"/>
      <c r="G173" s="4"/>
      <c r="H173" s="4"/>
      <c r="I173" s="4"/>
      <c r="J173" s="66"/>
      <c r="K173" s="66"/>
      <c r="L173" s="4"/>
    </row>
    <row r="174" spans="1:13" x14ac:dyDescent="0.2">
      <c r="B174" s="118"/>
      <c r="C174" s="87"/>
      <c r="D174" s="4"/>
      <c r="E174" s="4"/>
    </row>
    <row r="175" spans="1:13" x14ac:dyDescent="0.2">
      <c r="C175" s="13"/>
      <c r="D175" s="4"/>
    </row>
    <row r="176" spans="1:13" x14ac:dyDescent="0.2">
      <c r="C176" s="13"/>
      <c r="D176" s="4"/>
    </row>
    <row r="177" spans="2:12" x14ac:dyDescent="0.2">
      <c r="C177" s="14"/>
      <c r="D177" s="4"/>
      <c r="I177" s="4"/>
      <c r="K177" s="66"/>
      <c r="L177" s="4"/>
    </row>
    <row r="178" spans="2:12" x14ac:dyDescent="0.2">
      <c r="C178" s="14"/>
      <c r="D178" s="4"/>
    </row>
    <row r="179" spans="2:12" x14ac:dyDescent="0.2">
      <c r="C179" s="14"/>
      <c r="D179" s="4"/>
    </row>
    <row r="180" spans="2:12" x14ac:dyDescent="0.2">
      <c r="C180" s="14"/>
      <c r="D180" s="4"/>
    </row>
    <row r="181" spans="2:12" x14ac:dyDescent="0.2">
      <c r="C181" s="14"/>
      <c r="D181" s="4"/>
    </row>
    <row r="182" spans="2:12" x14ac:dyDescent="0.2">
      <c r="D182" s="4"/>
    </row>
    <row r="183" spans="2:12" x14ac:dyDescent="0.2">
      <c r="D183" s="4"/>
    </row>
    <row r="184" spans="2:12" x14ac:dyDescent="0.2">
      <c r="B184" s="119" t="s">
        <v>254</v>
      </c>
      <c r="C184" s="85" t="s">
        <v>255</v>
      </c>
      <c r="E184" s="85"/>
      <c r="G184" s="84" t="s">
        <v>260</v>
      </c>
      <c r="J184" s="85" t="s">
        <v>252</v>
      </c>
      <c r="K184" s="74"/>
    </row>
    <row r="185" spans="2:12" x14ac:dyDescent="0.2">
      <c r="B185" s="119" t="s">
        <v>89</v>
      </c>
      <c r="C185" s="85" t="s">
        <v>261</v>
      </c>
      <c r="E185" s="85"/>
      <c r="G185" s="84" t="s">
        <v>247</v>
      </c>
      <c r="J185" s="84" t="s">
        <v>242</v>
      </c>
    </row>
    <row r="189" spans="2:12" x14ac:dyDescent="0.2">
      <c r="I189" s="4"/>
      <c r="K189" s="66"/>
      <c r="L189" s="4"/>
    </row>
    <row r="190" spans="2:12" x14ac:dyDescent="0.2">
      <c r="I190" s="4"/>
      <c r="K190" s="66"/>
      <c r="L190" s="4"/>
    </row>
    <row r="191" spans="2:12" x14ac:dyDescent="0.2">
      <c r="G191" s="59"/>
      <c r="I191" s="59"/>
      <c r="K191" s="67"/>
      <c r="L191" s="4"/>
    </row>
    <row r="192" spans="2:12" x14ac:dyDescent="0.2">
      <c r="G192" s="59"/>
      <c r="I192" s="59"/>
      <c r="K192" s="67"/>
      <c r="L192" s="4"/>
    </row>
    <row r="193" spans="7:12" x14ac:dyDescent="0.2">
      <c r="G193" s="59"/>
      <c r="L193" s="4"/>
    </row>
    <row r="194" spans="7:12" x14ac:dyDescent="0.2">
      <c r="G194" s="59"/>
    </row>
    <row r="195" spans="7:12" x14ac:dyDescent="0.2">
      <c r="G195" s="59"/>
    </row>
    <row r="196" spans="7:12" x14ac:dyDescent="0.2">
      <c r="G196" s="59"/>
      <c r="L196" s="4"/>
    </row>
    <row r="197" spans="7:12" x14ac:dyDescent="0.2">
      <c r="G197" s="59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fitToHeight="0" orientation="landscape" horizontalDpi="360" verticalDpi="360" r:id="rId1"/>
  <rowBreaks count="2" manualBreakCount="2">
    <brk id="56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3AF20C-5369-4A1E-8108-A0BF4CA5478E}">
  <sheetPr>
    <pageSetUpPr fitToPage="1"/>
  </sheetPr>
  <dimension ref="A1:Q209"/>
  <sheetViews>
    <sheetView zoomScaleNormal="100" workbookViewId="0">
      <selection activeCell="C153" sqref="C153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" width="11.42578125" style="11"/>
    <col min="17" max="17" width="16" style="11" bestFit="1" customWidth="1"/>
    <col min="18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237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11600+4601+400+1200</f>
        <v>17801</v>
      </c>
      <c r="N10" s="28">
        <f t="shared" ref="N10:N22" si="1">L10-M10</f>
        <v>19199</v>
      </c>
      <c r="O10" s="27">
        <f>M10/$M$26</f>
        <v>5.9279621294298949E-3</v>
      </c>
    </row>
    <row r="11" spans="1:15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0.7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v>0.41</v>
      </c>
      <c r="N12" s="28">
        <f t="shared" si="1"/>
        <v>30499.59</v>
      </c>
      <c r="O12" s="27">
        <f>M12/$M$26</f>
        <v>1.3653527740386814E-7</v>
      </c>
    </row>
    <row r="13" spans="1:15" ht="31.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722.57+661.17+900.19+486.53</f>
        <v>2770.46</v>
      </c>
      <c r="N15" s="28">
        <f t="shared" si="1"/>
        <v>6029.54</v>
      </c>
      <c r="O15" s="27">
        <f>M15/$M$26</f>
        <v>9.2259884057639154E-4</v>
      </c>
    </row>
    <row r="16" spans="1:15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7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7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28">
        <f>C18+D18-E18+F18-G18+H18-I18+J18-I18-K18</f>
        <v>3968096.55</v>
      </c>
      <c r="M18" s="28">
        <f>249714.95+226495.4+345713.01+485074.38</f>
        <v>1306997.74</v>
      </c>
      <c r="N18" s="28">
        <f t="shared" si="1"/>
        <v>2661098.8099999996</v>
      </c>
      <c r="O18" s="27">
        <f>M18/$M$26</f>
        <v>0.4352470707247042</v>
      </c>
      <c r="Q18" s="11">
        <f>3267330.94-237956.93-188465.27-979785.53-185805.69</f>
        <v>1675317.5199999998</v>
      </c>
    </row>
    <row r="19" spans="1:17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  <c r="Q19" s="4">
        <f>+M18</f>
        <v>1306997.74</v>
      </c>
    </row>
    <row r="20" spans="1:17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28">
        <f>C20+D20-E20+F20-G20+H20-I20+J20-K20</f>
        <v>4261525.5600000005</v>
      </c>
      <c r="M20" s="28">
        <v>1675317.32</v>
      </c>
      <c r="N20" s="28">
        <f t="shared" si="1"/>
        <v>2586208.2400000002</v>
      </c>
      <c r="O20" s="27">
        <f>M20/$M$26</f>
        <v>0.55790223177001208</v>
      </c>
      <c r="Q20" s="4">
        <f>+M20</f>
        <v>1675317.32</v>
      </c>
    </row>
    <row r="21" spans="1:17" ht="15.95" customHeight="1" x14ac:dyDescent="0.25">
      <c r="A21" s="29" t="s">
        <v>25</v>
      </c>
      <c r="B21" s="29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  <c r="Q21" s="4">
        <f>+Q18-Q20</f>
        <v>0.19999999972060323</v>
      </c>
    </row>
    <row r="22" spans="1:17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7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7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7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7" ht="18" customHeight="1" thickBot="1" x14ac:dyDescent="0.3">
      <c r="A26" s="32"/>
      <c r="B26" s="33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10914020.330000002</v>
      </c>
      <c r="M26" s="34">
        <f>SUM(M10:M25)</f>
        <v>3002886.93</v>
      </c>
      <c r="N26" s="34">
        <f t="shared" si="2"/>
        <v>7911133.4000000004</v>
      </c>
      <c r="O26" s="27"/>
    </row>
    <row r="27" spans="1:17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7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7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7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7" ht="15.95" customHeight="1" x14ac:dyDescent="0.2">
      <c r="A31" s="41" t="s">
        <v>36</v>
      </c>
      <c r="B31" s="29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28">
        <f>C31+D31-E31+F31-G31+H31+J31-I31-K31</f>
        <v>846201.45000000007</v>
      </c>
      <c r="M31" s="28">
        <f>59982.77+68194.09+68194.09+68194.09</f>
        <v>264565.03999999998</v>
      </c>
      <c r="N31" s="28">
        <f t="shared" ref="N31:N100" si="3">L31-M31</f>
        <v>581636.41000000015</v>
      </c>
      <c r="O31" s="38">
        <f>M31/$M$141</f>
        <v>0.12682839609339355</v>
      </c>
    </row>
    <row r="32" spans="1:17" ht="30.7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f>750+750+750+750</f>
        <v>3000</v>
      </c>
      <c r="N32" s="28">
        <f t="shared" si="3"/>
        <v>10700</v>
      </c>
      <c r="O32" s="38">
        <f>M32/$M$141</f>
        <v>1.4381536890897629E-3</v>
      </c>
    </row>
    <row r="33" spans="1:15" ht="30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f>18899+21149+21149+21149</f>
        <v>82346</v>
      </c>
      <c r="N33" s="28">
        <f t="shared" si="3"/>
        <v>228754</v>
      </c>
      <c r="O33" s="38">
        <f>M33/$M$141</f>
        <v>3.9475401227261869E-2</v>
      </c>
    </row>
    <row r="34" spans="1:15" ht="15.95" customHeight="1" x14ac:dyDescent="0.3">
      <c r="A34" s="41" t="s">
        <v>250</v>
      </c>
      <c r="B34" s="29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5">M35/$M$141</f>
        <v>0</v>
      </c>
    </row>
    <row r="36" spans="1:15" ht="15.95" customHeight="1" x14ac:dyDescent="0.2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/>
      <c r="K36" s="44"/>
      <c r="L36" s="28">
        <f t="shared" si="4"/>
        <v>17500</v>
      </c>
      <c r="M36" s="28">
        <f>540+1620+1620+2340</f>
        <v>6120</v>
      </c>
      <c r="N36" s="28">
        <f t="shared" si="3"/>
        <v>11380</v>
      </c>
      <c r="O36" s="38">
        <f t="shared" si="5"/>
        <v>2.933833525743116E-3</v>
      </c>
    </row>
    <row r="37" spans="1:15" ht="15.95" customHeight="1" x14ac:dyDescent="0.2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f>818.04+1159.97</f>
        <v>1978.01</v>
      </c>
      <c r="N37" s="28">
        <f t="shared" si="3"/>
        <v>32532.790000000005</v>
      </c>
      <c r="O37" s="38">
        <f t="shared" si="5"/>
        <v>9.482274595188139E-4</v>
      </c>
    </row>
    <row r="38" spans="1:15" ht="15.95" customHeight="1" x14ac:dyDescent="0.2">
      <c r="A38" s="41" t="s">
        <v>42</v>
      </c>
      <c r="B38" s="29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28">
        <f t="shared" si="4"/>
        <v>115401.15</v>
      </c>
      <c r="M38" s="28">
        <f>6400.16+7276.31+7363.59+7400.08</f>
        <v>28440.14</v>
      </c>
      <c r="N38" s="28">
        <f t="shared" si="3"/>
        <v>86961.01</v>
      </c>
      <c r="O38" s="38">
        <f t="shared" si="5"/>
        <v>1.3633764086409775E-2</v>
      </c>
    </row>
    <row r="39" spans="1:15" ht="15.95" customHeight="1" x14ac:dyDescent="0.2">
      <c r="A39" s="41" t="s">
        <v>43</v>
      </c>
      <c r="B39" s="29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599.83+681.94+690.12+693.54</f>
        <v>2665.43</v>
      </c>
      <c r="N39" s="28">
        <f t="shared" si="3"/>
        <v>12525.41</v>
      </c>
      <c r="O39" s="38">
        <f t="shared" si="5"/>
        <v>1.2777659958368422E-3</v>
      </c>
    </row>
    <row r="40" spans="1:15" ht="15.95" customHeight="1" x14ac:dyDescent="0.2">
      <c r="A40" s="41" t="s">
        <v>44</v>
      </c>
      <c r="B40" s="29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28">
        <f t="shared" si="4"/>
        <v>75581.009999999995</v>
      </c>
      <c r="M40" s="28"/>
      <c r="N40" s="28">
        <f t="shared" si="3"/>
        <v>75581.009999999995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29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28">
        <f t="shared" si="4"/>
        <v>75581.009999999995</v>
      </c>
      <c r="M41" s="28"/>
      <c r="N41" s="28">
        <f t="shared" si="3"/>
        <v>75581.009999999995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29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3"/>
        <v>5000</v>
      </c>
      <c r="O42" s="38">
        <f t="shared" si="5"/>
        <v>0</v>
      </c>
    </row>
    <row r="43" spans="1:15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29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40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29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0" si="6">C46+D46-E46+F46-G46+H46+J46-K46</f>
        <v>13750</v>
      </c>
      <c r="M46" s="28">
        <f>346.37+964.95+1334.04+944.75</f>
        <v>3590.11</v>
      </c>
      <c r="N46" s="28">
        <f t="shared" si="3"/>
        <v>10159.89</v>
      </c>
      <c r="O46" s="38">
        <f t="shared" ref="O46:O55" si="7">M46/$M$141</f>
        <v>1.7210433135793496E-3</v>
      </c>
    </row>
    <row r="47" spans="1:15" ht="15.95" customHeight="1" x14ac:dyDescent="0.2">
      <c r="A47" s="41" t="s">
        <v>92</v>
      </c>
      <c r="B47" s="29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f>7409.06+619.68+618+618</f>
        <v>9264.7400000000016</v>
      </c>
      <c r="N47" s="28">
        <f t="shared" si="3"/>
        <v>16835.259999999998</v>
      </c>
      <c r="O47" s="38">
        <f t="shared" si="7"/>
        <v>4.4413733364858307E-3</v>
      </c>
    </row>
    <row r="48" spans="1:15" ht="15.95" customHeight="1" x14ac:dyDescent="0.2">
      <c r="A48" s="41" t="s">
        <v>93</v>
      </c>
      <c r="B48" s="29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f>469.55+470.27+568.5</f>
        <v>1508.32</v>
      </c>
      <c r="N48" s="28">
        <f t="shared" si="3"/>
        <v>491.68000000000006</v>
      </c>
      <c r="O48" s="38">
        <f t="shared" si="7"/>
        <v>7.2306532410929035E-4</v>
      </c>
    </row>
    <row r="49" spans="1:15" ht="15.95" customHeight="1" x14ac:dyDescent="0.2">
      <c r="A49" s="41" t="s">
        <v>94</v>
      </c>
      <c r="B49" s="29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>
        <v>2040</v>
      </c>
      <c r="N49" s="28">
        <f t="shared" si="3"/>
        <v>5960</v>
      </c>
      <c r="O49" s="38">
        <f t="shared" si="7"/>
        <v>9.7794450858103873E-4</v>
      </c>
    </row>
    <row r="50" spans="1:15" ht="15.95" customHeight="1" x14ac:dyDescent="0.2">
      <c r="A50" s="41" t="s">
        <v>95</v>
      </c>
      <c r="B50" s="29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295.35+1954+176.7+106.7</f>
        <v>2532.7499999999995</v>
      </c>
      <c r="N50" s="28">
        <f t="shared" si="3"/>
        <v>11717.25</v>
      </c>
      <c r="O50" s="38">
        <f t="shared" si="7"/>
        <v>1.2141612520140321E-3</v>
      </c>
    </row>
    <row r="51" spans="1:15" ht="15.95" customHeight="1" x14ac:dyDescent="0.2">
      <c r="A51" s="41" t="s">
        <v>96</v>
      </c>
      <c r="B51" s="29" t="s">
        <v>161</v>
      </c>
      <c r="C51" s="28">
        <v>673088.47</v>
      </c>
      <c r="D51" s="28"/>
      <c r="E51" s="28"/>
      <c r="F51" s="44">
        <v>300000</v>
      </c>
      <c r="G51" s="44"/>
      <c r="H51" s="28">
        <v>1130902.48</v>
      </c>
      <c r="I51" s="28"/>
      <c r="J51" s="44"/>
      <c r="K51" s="44"/>
      <c r="L51" s="28">
        <f>C51+D51-E51+F51-G51+H51-I51+J51-K51</f>
        <v>2103990.9500000002</v>
      </c>
      <c r="M51" s="28">
        <f>52511.08+370815.32+121201.74</f>
        <v>544528.14</v>
      </c>
      <c r="N51" s="28">
        <f t="shared" si="3"/>
        <v>1559462.81</v>
      </c>
      <c r="O51" s="38">
        <f t="shared" si="7"/>
        <v>0.2610383844513956</v>
      </c>
    </row>
    <row r="52" spans="1:15" ht="15.95" customHeight="1" x14ac:dyDescent="0.2">
      <c r="A52" s="41" t="s">
        <v>97</v>
      </c>
      <c r="B52" s="29" t="s">
        <v>53</v>
      </c>
      <c r="C52" s="28">
        <v>563742.69999999995</v>
      </c>
      <c r="D52" s="28"/>
      <c r="E52" s="28"/>
      <c r="F52" s="44"/>
      <c r="G52" s="44">
        <v>300000</v>
      </c>
      <c r="H52" s="28">
        <v>293382.87</v>
      </c>
      <c r="I52" s="28"/>
      <c r="J52" s="44"/>
      <c r="K52" s="44"/>
      <c r="L52" s="28">
        <f>C52+D52-E52+F52-G52+H52+J52-K52</f>
        <v>557125.56999999995</v>
      </c>
      <c r="M52" s="28">
        <f>3740.5+87744.2+10441.24+13388.35</f>
        <v>115314.29000000001</v>
      </c>
      <c r="N52" s="28">
        <f t="shared" si="3"/>
        <v>441811.27999999991</v>
      </c>
      <c r="O52" s="38">
        <f t="shared" si="7"/>
        <v>5.5279890522755587E-2</v>
      </c>
    </row>
    <row r="53" spans="1:15" ht="15.95" customHeight="1" x14ac:dyDescent="0.2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/>
      <c r="L53" s="28">
        <f>C53+D53-E53+F53-G53+H53+J53-K53</f>
        <v>1334049.7</v>
      </c>
      <c r="M53" s="28">
        <f>48849.92+109313.99+1000+269983.68</f>
        <v>429147.58999999997</v>
      </c>
      <c r="N53" s="28">
        <f t="shared" si="3"/>
        <v>904902.11</v>
      </c>
      <c r="O53" s="38">
        <f t="shared" si="7"/>
        <v>0.20572672990749366</v>
      </c>
    </row>
    <row r="54" spans="1:15" ht="15.95" customHeight="1" x14ac:dyDescent="0.2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/>
      <c r="N54" s="28">
        <f t="shared" si="3"/>
        <v>225000</v>
      </c>
      <c r="O54" s="38">
        <f t="shared" si="7"/>
        <v>0</v>
      </c>
    </row>
    <row r="55" spans="1:15" ht="15.95" customHeight="1" x14ac:dyDescent="0.2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/>
      <c r="K57" s="44"/>
      <c r="L57" s="28">
        <f t="shared" si="6"/>
        <v>4400</v>
      </c>
      <c r="M57" s="28">
        <v>7600</v>
      </c>
      <c r="N57" s="28">
        <f t="shared" si="3"/>
        <v>-3200</v>
      </c>
      <c r="O57" s="38">
        <f>M57/$M$141</f>
        <v>3.643322679027399E-3</v>
      </c>
    </row>
    <row r="58" spans="1:15" ht="15.95" customHeight="1" x14ac:dyDescent="0.2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>M58/$M$141</f>
        <v>0</v>
      </c>
    </row>
    <row r="59" spans="1:15" ht="32.2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>M59/$M$141</f>
        <v>0</v>
      </c>
    </row>
    <row r="60" spans="1:15" ht="31.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>
        <v>448</v>
      </c>
      <c r="N60" s="28">
        <f t="shared" si="3"/>
        <v>6552</v>
      </c>
      <c r="O60" s="38">
        <f>M60/$M$141</f>
        <v>2.1476428423740457E-4</v>
      </c>
    </row>
    <row r="61" spans="1:15" ht="33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>M61/$M$141</f>
        <v>2.1572305336346441E-4</v>
      </c>
    </row>
    <row r="62" spans="1:15" ht="15.95" customHeight="1" x14ac:dyDescent="0.2">
      <c r="A62" s="41">
        <v>169</v>
      </c>
      <c r="B62" s="29" t="s">
        <v>236</v>
      </c>
      <c r="C62" s="28">
        <v>15000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15000</v>
      </c>
      <c r="M62" s="28"/>
      <c r="N62" s="28">
        <f t="shared" si="3"/>
        <v>15000</v>
      </c>
      <c r="O62" s="38"/>
    </row>
    <row r="63" spans="1:15" ht="15.95" customHeight="1" x14ac:dyDescent="0.2">
      <c r="A63" s="41">
        <v>171</v>
      </c>
      <c r="B63" s="29" t="s">
        <v>167</v>
      </c>
      <c r="C63" s="28">
        <v>115000</v>
      </c>
      <c r="D63" s="28"/>
      <c r="E63" s="28"/>
      <c r="F63" s="44"/>
      <c r="G63" s="44">
        <v>100000</v>
      </c>
      <c r="H63" s="28"/>
      <c r="I63" s="28"/>
      <c r="J63" s="44"/>
      <c r="K63" s="44"/>
      <c r="L63" s="28">
        <f>C63+D63-E63+F63-G63+H63+J63-I63-K63</f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 t="s">
        <v>107</v>
      </c>
      <c r="B64" s="29" t="s">
        <v>168</v>
      </c>
      <c r="C64" s="28">
        <v>30750</v>
      </c>
      <c r="D64" s="28"/>
      <c r="E64" s="28"/>
      <c r="F64" s="44"/>
      <c r="G64" s="44"/>
      <c r="H64" s="28"/>
      <c r="I64" s="28"/>
      <c r="J64" s="44"/>
      <c r="K64" s="44"/>
      <c r="L64" s="28">
        <f t="shared" si="6"/>
        <v>30750</v>
      </c>
      <c r="M64" s="28"/>
      <c r="N64" s="28">
        <f t="shared" si="3"/>
        <v>30750</v>
      </c>
      <c r="O64" s="38">
        <f>M64/$M$141</f>
        <v>0</v>
      </c>
    </row>
    <row r="65" spans="1:15" ht="33" customHeight="1" x14ac:dyDescent="0.2">
      <c r="A65" s="41">
        <v>176</v>
      </c>
      <c r="B65" s="100" t="s">
        <v>263</v>
      </c>
      <c r="C65" s="28">
        <v>0</v>
      </c>
      <c r="D65" s="28"/>
      <c r="E65" s="28"/>
      <c r="F65" s="44">
        <v>20000</v>
      </c>
      <c r="G65" s="44"/>
      <c r="H65" s="28"/>
      <c r="I65" s="28"/>
      <c r="J65" s="44"/>
      <c r="K65" s="44"/>
      <c r="L65" s="28">
        <f t="shared" si="6"/>
        <v>20000</v>
      </c>
      <c r="M65" s="28">
        <v>4000</v>
      </c>
      <c r="N65" s="28">
        <f t="shared" si="3"/>
        <v>16000</v>
      </c>
      <c r="O65" s="38"/>
    </row>
    <row r="66" spans="1:15" ht="31.5" customHeight="1" x14ac:dyDescent="0.2">
      <c r="A66" s="41" t="s">
        <v>108</v>
      </c>
      <c r="B66" s="100" t="s">
        <v>169</v>
      </c>
      <c r="C66" s="28">
        <v>260706.83</v>
      </c>
      <c r="D66" s="28"/>
      <c r="E66" s="28"/>
      <c r="F66" s="44"/>
      <c r="G66" s="44"/>
      <c r="H66" s="28"/>
      <c r="I66" s="28"/>
      <c r="J66" s="44"/>
      <c r="K66" s="44"/>
      <c r="L66" s="28">
        <f t="shared" si="6"/>
        <v>260706.83</v>
      </c>
      <c r="M66" s="28"/>
      <c r="N66" s="28">
        <f t="shared" si="3"/>
        <v>260706.83</v>
      </c>
      <c r="O66" s="38">
        <f t="shared" ref="O66:O80" si="8">M66/$M$141</f>
        <v>0</v>
      </c>
    </row>
    <row r="67" spans="1:15" ht="15.95" customHeight="1" x14ac:dyDescent="0.2">
      <c r="A67" s="41">
        <v>182</v>
      </c>
      <c r="B67" s="29" t="s">
        <v>235</v>
      </c>
      <c r="C67" s="28">
        <v>10000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10000</v>
      </c>
      <c r="M67" s="28"/>
      <c r="N67" s="28">
        <f t="shared" si="3"/>
        <v>10000</v>
      </c>
      <c r="O67" s="38">
        <f t="shared" si="8"/>
        <v>0</v>
      </c>
    </row>
    <row r="68" spans="1:15" ht="15.95" customHeight="1" x14ac:dyDescent="0.2">
      <c r="A68" s="41" t="s">
        <v>109</v>
      </c>
      <c r="B68" s="29" t="s">
        <v>170</v>
      </c>
      <c r="C68" s="28">
        <v>54000</v>
      </c>
      <c r="D68" s="28"/>
      <c r="E68" s="28"/>
      <c r="F68" s="44">
        <v>6000</v>
      </c>
      <c r="G68" s="44"/>
      <c r="H68" s="28"/>
      <c r="I68" s="28"/>
      <c r="J68" s="44"/>
      <c r="K68" s="44"/>
      <c r="L68" s="28">
        <f t="shared" si="6"/>
        <v>60000</v>
      </c>
      <c r="M68" s="28">
        <v>1018.44</v>
      </c>
      <c r="N68" s="28">
        <f t="shared" si="3"/>
        <v>58981.56</v>
      </c>
      <c r="O68" s="38">
        <f t="shared" si="8"/>
        <v>4.8822441437219269E-4</v>
      </c>
    </row>
    <row r="69" spans="1:15" ht="33" customHeight="1" x14ac:dyDescent="0.2">
      <c r="A69" s="41" t="s">
        <v>110</v>
      </c>
      <c r="B69" s="100" t="s">
        <v>171</v>
      </c>
      <c r="C69" s="28">
        <v>54000</v>
      </c>
      <c r="D69" s="28"/>
      <c r="E69" s="28"/>
      <c r="F69" s="44">
        <v>90000</v>
      </c>
      <c r="G69" s="44"/>
      <c r="H69" s="28"/>
      <c r="I69" s="28"/>
      <c r="J69" s="44"/>
      <c r="K69" s="44"/>
      <c r="L69" s="28">
        <f t="shared" si="6"/>
        <v>144000</v>
      </c>
      <c r="M69" s="28">
        <f>4500+4500+4500+4500</f>
        <v>18000</v>
      </c>
      <c r="N69" s="28">
        <f t="shared" si="3"/>
        <v>126000</v>
      </c>
      <c r="O69" s="38">
        <f t="shared" si="8"/>
        <v>8.6289221345385771E-3</v>
      </c>
    </row>
    <row r="70" spans="1:15" ht="15.95" customHeight="1" x14ac:dyDescent="0.2">
      <c r="A70" s="41" t="s">
        <v>111</v>
      </c>
      <c r="B70" s="29" t="s">
        <v>57</v>
      </c>
      <c r="C70" s="28">
        <v>7500</v>
      </c>
      <c r="D70" s="28"/>
      <c r="E70" s="28"/>
      <c r="F70" s="44"/>
      <c r="G70" s="44"/>
      <c r="H70" s="28"/>
      <c r="I70" s="28"/>
      <c r="J70" s="44"/>
      <c r="K70" s="44"/>
      <c r="L70" s="28">
        <f t="shared" si="6"/>
        <v>7500</v>
      </c>
      <c r="M70" s="28">
        <f>235.2+352.8+117.6</f>
        <v>705.6</v>
      </c>
      <c r="N70" s="28">
        <f t="shared" si="3"/>
        <v>6794.4</v>
      </c>
      <c r="O70" s="38">
        <f t="shared" si="8"/>
        <v>3.3825374767391221E-4</v>
      </c>
    </row>
    <row r="71" spans="1:15" ht="30.75" customHeight="1" x14ac:dyDescent="0.2">
      <c r="A71" s="41" t="s">
        <v>112</v>
      </c>
      <c r="B71" s="100" t="s">
        <v>172</v>
      </c>
      <c r="C71" s="28">
        <v>24540</v>
      </c>
      <c r="D71" s="28"/>
      <c r="E71" s="28"/>
      <c r="F71" s="44"/>
      <c r="G71" s="44"/>
      <c r="H71" s="28"/>
      <c r="I71" s="28"/>
      <c r="J71" s="44"/>
      <c r="K71" s="44"/>
      <c r="L71" s="28">
        <f t="shared" si="6"/>
        <v>24540</v>
      </c>
      <c r="M71" s="28"/>
      <c r="N71" s="28">
        <f t="shared" si="3"/>
        <v>24540</v>
      </c>
      <c r="O71" s="38">
        <f t="shared" si="8"/>
        <v>0</v>
      </c>
    </row>
    <row r="72" spans="1:15" ht="15.95" customHeight="1" x14ac:dyDescent="0.2">
      <c r="A72" s="41" t="s">
        <v>113</v>
      </c>
      <c r="B72" s="29" t="s">
        <v>173</v>
      </c>
      <c r="C72" s="28">
        <v>863300</v>
      </c>
      <c r="D72" s="28"/>
      <c r="E72" s="28"/>
      <c r="F72" s="44"/>
      <c r="G72" s="44"/>
      <c r="H72" s="28">
        <v>100000</v>
      </c>
      <c r="I72" s="28"/>
      <c r="J72" s="44"/>
      <c r="K72" s="44"/>
      <c r="L72" s="28">
        <f>C72+D72-E72+F72-G72+H72-I72+J72-K72</f>
        <v>963300</v>
      </c>
      <c r="M72" s="28">
        <f>93776.76+70259.49+71194.06+140236.56</f>
        <v>375466.87</v>
      </c>
      <c r="N72" s="28">
        <f t="shared" si="3"/>
        <v>587833.13</v>
      </c>
      <c r="O72" s="38">
        <f t="shared" si="8"/>
        <v>0.17999302140716214</v>
      </c>
    </row>
    <row r="73" spans="1:15" ht="31.5" customHeight="1" x14ac:dyDescent="0.2">
      <c r="A73" s="41" t="s">
        <v>114</v>
      </c>
      <c r="B73" s="100" t="s">
        <v>174</v>
      </c>
      <c r="C73" s="28">
        <v>8000</v>
      </c>
      <c r="D73" s="28"/>
      <c r="E73" s="28"/>
      <c r="F73" s="44"/>
      <c r="G73" s="44"/>
      <c r="H73" s="28"/>
      <c r="I73" s="28"/>
      <c r="J73" s="44"/>
      <c r="K73" s="44"/>
      <c r="L73" s="28">
        <f t="shared" si="6"/>
        <v>8000</v>
      </c>
      <c r="M73" s="28"/>
      <c r="N73" s="28">
        <f t="shared" si="3"/>
        <v>8000</v>
      </c>
      <c r="O73" s="38">
        <f t="shared" si="8"/>
        <v>0</v>
      </c>
    </row>
    <row r="74" spans="1:15" ht="15.95" customHeight="1" x14ac:dyDescent="0.2">
      <c r="A74" s="41" t="s">
        <v>115</v>
      </c>
      <c r="B74" s="29" t="s">
        <v>58</v>
      </c>
      <c r="C74" s="28">
        <v>176000</v>
      </c>
      <c r="D74" s="28"/>
      <c r="E74" s="28"/>
      <c r="F74" s="44"/>
      <c r="G74" s="44">
        <v>46000</v>
      </c>
      <c r="H74" s="28"/>
      <c r="I74" s="28"/>
      <c r="J74" s="44"/>
      <c r="K74" s="44"/>
      <c r="L74" s="28">
        <f>C74+D74-E74+F74-G74+H74+J74-I74-K74</f>
        <v>130000</v>
      </c>
      <c r="M74" s="28"/>
      <c r="N74" s="28">
        <f t="shared" si="3"/>
        <v>130000</v>
      </c>
      <c r="O74" s="38">
        <f t="shared" si="8"/>
        <v>0</v>
      </c>
    </row>
    <row r="75" spans="1:15" ht="15.95" customHeight="1" x14ac:dyDescent="0.2">
      <c r="A75" s="41" t="s">
        <v>116</v>
      </c>
      <c r="B75" s="29" t="s">
        <v>175</v>
      </c>
      <c r="C75" s="28">
        <v>8250</v>
      </c>
      <c r="D75" s="28"/>
      <c r="E75" s="28"/>
      <c r="F75" s="44"/>
      <c r="G75" s="44"/>
      <c r="H75" s="28"/>
      <c r="I75" s="28"/>
      <c r="J75" s="44"/>
      <c r="K75" s="44"/>
      <c r="L75" s="28">
        <f t="shared" si="6"/>
        <v>8250</v>
      </c>
      <c r="M75" s="28">
        <v>911.4</v>
      </c>
      <c r="N75" s="28">
        <f t="shared" si="3"/>
        <v>7338.6</v>
      </c>
      <c r="O75" s="38">
        <f t="shared" si="8"/>
        <v>4.3691109074546995E-4</v>
      </c>
    </row>
    <row r="76" spans="1:15" ht="15.95" customHeight="1" x14ac:dyDescent="0.2">
      <c r="A76" s="41" t="s">
        <v>117</v>
      </c>
      <c r="B76" s="29" t="s">
        <v>176</v>
      </c>
      <c r="C76" s="28">
        <v>2500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2500</v>
      </c>
      <c r="M76" s="28">
        <f>50+56.72+130.7+87.35</f>
        <v>324.77</v>
      </c>
      <c r="N76" s="28">
        <f t="shared" si="3"/>
        <v>2175.23</v>
      </c>
      <c r="O76" s="38">
        <f t="shared" si="8"/>
        <v>1.5568972453522742E-4</v>
      </c>
    </row>
    <row r="77" spans="1:15" ht="15.95" customHeight="1" x14ac:dyDescent="0.2">
      <c r="A77" s="41" t="s">
        <v>118</v>
      </c>
      <c r="B77" s="29" t="s">
        <v>59</v>
      </c>
      <c r="C77" s="28">
        <v>125000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125000</v>
      </c>
      <c r="M77" s="28">
        <f>10+30+10.2</f>
        <v>50.2</v>
      </c>
      <c r="N77" s="28">
        <f t="shared" si="3"/>
        <v>124949.8</v>
      </c>
      <c r="O77" s="38">
        <f t="shared" si="8"/>
        <v>2.4065105064102032E-5</v>
      </c>
    </row>
    <row r="78" spans="1:15" ht="15.95" customHeight="1" x14ac:dyDescent="0.2">
      <c r="A78" s="41" t="s">
        <v>119</v>
      </c>
      <c r="B78" s="29" t="s">
        <v>177</v>
      </c>
      <c r="C78" s="28">
        <v>50000</v>
      </c>
      <c r="D78" s="28"/>
      <c r="E78" s="28"/>
      <c r="F78" s="44"/>
      <c r="G78" s="44"/>
      <c r="H78" s="28"/>
      <c r="I78" s="28"/>
      <c r="J78" s="44"/>
      <c r="K78" s="44"/>
      <c r="L78" s="28">
        <f t="shared" ref="L78:L79" si="9">C78+D78-E78+F78-G78+H78+J78-I78-K78</f>
        <v>50000</v>
      </c>
      <c r="M78" s="28"/>
      <c r="N78" s="28">
        <f t="shared" si="3"/>
        <v>50000</v>
      </c>
      <c r="O78" s="38">
        <f t="shared" si="8"/>
        <v>0</v>
      </c>
    </row>
    <row r="79" spans="1:15" ht="15.95" customHeight="1" x14ac:dyDescent="0.2">
      <c r="A79" s="41" t="s">
        <v>178</v>
      </c>
      <c r="B79" s="29" t="s">
        <v>151</v>
      </c>
      <c r="C79" s="28">
        <v>46100</v>
      </c>
      <c r="D79" s="28"/>
      <c r="E79" s="28"/>
      <c r="F79" s="44"/>
      <c r="G79" s="44"/>
      <c r="H79" s="28"/>
      <c r="I79" s="28"/>
      <c r="J79" s="44"/>
      <c r="K79" s="44"/>
      <c r="L79" s="28">
        <f t="shared" si="9"/>
        <v>46100</v>
      </c>
      <c r="M79" s="28"/>
      <c r="N79" s="28">
        <f t="shared" si="3"/>
        <v>46100</v>
      </c>
      <c r="O79" s="38">
        <f t="shared" si="8"/>
        <v>0</v>
      </c>
    </row>
    <row r="80" spans="1:15" ht="15.95" customHeight="1" x14ac:dyDescent="0.2">
      <c r="A80" s="41" t="s">
        <v>120</v>
      </c>
      <c r="B80" s="29" t="s">
        <v>179</v>
      </c>
      <c r="C80" s="28">
        <v>51000</v>
      </c>
      <c r="D80" s="28"/>
      <c r="E80" s="28"/>
      <c r="F80" s="44"/>
      <c r="G80" s="44"/>
      <c r="H80" s="28"/>
      <c r="I80" s="28"/>
      <c r="J80" s="44"/>
      <c r="K80" s="44"/>
      <c r="L80" s="28">
        <f t="shared" si="6"/>
        <v>51000</v>
      </c>
      <c r="M80" s="28">
        <f>440+44</f>
        <v>484</v>
      </c>
      <c r="N80" s="28">
        <f t="shared" si="3"/>
        <v>50516</v>
      </c>
      <c r="O80" s="38">
        <f t="shared" si="8"/>
        <v>2.3202212850648174E-4</v>
      </c>
    </row>
    <row r="81" spans="1:15" ht="15.95" customHeight="1" x14ac:dyDescent="0.2">
      <c r="A81" s="41"/>
      <c r="B81" s="29"/>
      <c r="C81" s="28"/>
      <c r="D81" s="28"/>
      <c r="E81" s="28"/>
      <c r="F81" s="44"/>
      <c r="G81" s="44"/>
      <c r="H81" s="28"/>
      <c r="I81" s="28"/>
      <c r="J81" s="44"/>
      <c r="K81" s="44"/>
      <c r="L81" s="28"/>
      <c r="M81" s="28"/>
      <c r="N81" s="28"/>
      <c r="O81" s="38"/>
    </row>
    <row r="82" spans="1:15" ht="15.95" customHeight="1" x14ac:dyDescent="0.2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5">
      <c r="A83" s="39">
        <v>2</v>
      </c>
      <c r="B83" s="40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">
      <c r="A84" s="41" t="s">
        <v>121</v>
      </c>
      <c r="B84" s="29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28">
        <f t="shared" ref="L84:L120" si="10">C84+D84-E84+F84-G84+H84+J84-K84</f>
        <v>146784.1</v>
      </c>
      <c r="M84" s="28">
        <f>2380.7+754.5+12765.2+1133.1</f>
        <v>17033.5</v>
      </c>
      <c r="N84" s="28">
        <f t="shared" si="3"/>
        <v>129750.6</v>
      </c>
      <c r="O84" s="38">
        <f t="shared" ref="O84:O120" si="11">M84/$M$141</f>
        <v>8.1655969543701582E-3</v>
      </c>
    </row>
    <row r="85" spans="1:15" ht="15.95" hidden="1" customHeight="1" x14ac:dyDescent="0.2">
      <c r="A85" s="41">
        <v>214</v>
      </c>
      <c r="B85" s="29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28">
        <f t="shared" si="10"/>
        <v>0</v>
      </c>
      <c r="M85" s="28"/>
      <c r="N85" s="28">
        <f t="shared" si="3"/>
        <v>0</v>
      </c>
      <c r="O85" s="38">
        <f t="shared" si="11"/>
        <v>0</v>
      </c>
    </row>
    <row r="86" spans="1:15" ht="15.95" customHeight="1" x14ac:dyDescent="0.2">
      <c r="A86" s="41">
        <v>223</v>
      </c>
      <c r="B86" s="29" t="s">
        <v>192</v>
      </c>
      <c r="C86" s="28">
        <v>2000</v>
      </c>
      <c r="D86" s="28"/>
      <c r="E86" s="28"/>
      <c r="F86" s="44"/>
      <c r="G86" s="44"/>
      <c r="H86" s="28">
        <v>10000</v>
      </c>
      <c r="I86" s="28"/>
      <c r="J86" s="44"/>
      <c r="K86" s="44"/>
      <c r="L86" s="28">
        <f t="shared" si="10"/>
        <v>12000</v>
      </c>
      <c r="M86" s="28"/>
      <c r="N86" s="28">
        <f t="shared" si="3"/>
        <v>12000</v>
      </c>
      <c r="O86" s="38">
        <f t="shared" si="11"/>
        <v>0</v>
      </c>
    </row>
    <row r="87" spans="1:15" ht="15.95" hidden="1" customHeight="1" x14ac:dyDescent="0.2">
      <c r="A87" s="41">
        <v>229</v>
      </c>
      <c r="B87" s="29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28">
        <f t="shared" si="10"/>
        <v>0</v>
      </c>
      <c r="M87" s="28"/>
      <c r="N87" s="28">
        <f t="shared" si="3"/>
        <v>0</v>
      </c>
      <c r="O87" s="38">
        <f t="shared" si="11"/>
        <v>0</v>
      </c>
    </row>
    <row r="88" spans="1:15" ht="15.95" customHeight="1" x14ac:dyDescent="0.2">
      <c r="A88" s="41" t="s">
        <v>122</v>
      </c>
      <c r="B88" s="29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28">
        <f t="shared" si="10"/>
        <v>5000</v>
      </c>
      <c r="M88" s="28">
        <f>94.99+48</f>
        <v>142.99</v>
      </c>
      <c r="N88" s="28">
        <f t="shared" si="3"/>
        <v>4857.01</v>
      </c>
      <c r="O88" s="38">
        <f t="shared" si="11"/>
        <v>6.8547198667648406E-5</v>
      </c>
    </row>
    <row r="89" spans="1:15" ht="15.95" customHeight="1" x14ac:dyDescent="0.2">
      <c r="A89" s="41" t="s">
        <v>123</v>
      </c>
      <c r="B89" s="29" t="s">
        <v>63</v>
      </c>
      <c r="C89" s="28">
        <v>33800</v>
      </c>
      <c r="D89" s="28"/>
      <c r="E89" s="28"/>
      <c r="F89" s="44"/>
      <c r="G89" s="44"/>
      <c r="H89" s="28">
        <v>20017.62</v>
      </c>
      <c r="I89" s="28"/>
      <c r="J89" s="44"/>
      <c r="K89" s="44"/>
      <c r="L89" s="28">
        <f t="shared" si="10"/>
        <v>53817.619999999995</v>
      </c>
      <c r="M89" s="28">
        <v>21140</v>
      </c>
      <c r="N89" s="28">
        <f t="shared" si="3"/>
        <v>32677.619999999995</v>
      </c>
      <c r="O89" s="38">
        <f t="shared" si="11"/>
        <v>1.0134189662452529E-2</v>
      </c>
    </row>
    <row r="90" spans="1:15" ht="15.95" customHeight="1" x14ac:dyDescent="0.2">
      <c r="A90" s="41" t="s">
        <v>124</v>
      </c>
      <c r="B90" s="29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28">
        <f t="shared" ref="L90" si="12">C90+D90-E90+F90-G90+H90+J90-I90-K90</f>
        <v>5250</v>
      </c>
      <c r="M90" s="28">
        <f>439+446.2+360+360</f>
        <v>1605.2</v>
      </c>
      <c r="N90" s="28">
        <f t="shared" si="3"/>
        <v>3644.8</v>
      </c>
      <c r="O90" s="38">
        <f t="shared" si="11"/>
        <v>7.6950810057562912E-4</v>
      </c>
    </row>
    <row r="91" spans="1:15" ht="15.95" customHeight="1" x14ac:dyDescent="0.2">
      <c r="A91" s="41" t="s">
        <v>125</v>
      </c>
      <c r="B91" s="29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28">
        <f t="shared" si="10"/>
        <v>10500</v>
      </c>
      <c r="M91" s="28">
        <f>970+65.15+174.99+1122.19</f>
        <v>2332.33</v>
      </c>
      <c r="N91" s="28">
        <f t="shared" si="3"/>
        <v>8167.67</v>
      </c>
      <c r="O91" s="38">
        <f t="shared" si="11"/>
        <v>1.1180829978915754E-3</v>
      </c>
    </row>
    <row r="92" spans="1:15" ht="15.95" customHeight="1" x14ac:dyDescent="0.2">
      <c r="A92" s="41" t="s">
        <v>126</v>
      </c>
      <c r="B92" s="29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28">
        <f t="shared" ref="L92" si="13">C92+D92-E92+F92-G92+H92+J92-I92-K92</f>
        <v>3050</v>
      </c>
      <c r="M92" s="28">
        <f>394.5+294.3</f>
        <v>688.8</v>
      </c>
      <c r="N92" s="28">
        <f t="shared" si="3"/>
        <v>2361.1999999999998</v>
      </c>
      <c r="O92" s="38">
        <f t="shared" si="11"/>
        <v>3.3020008701500951E-4</v>
      </c>
    </row>
    <row r="93" spans="1:15" ht="15.95" customHeight="1" x14ac:dyDescent="0.2">
      <c r="A93" s="41" t="s">
        <v>127</v>
      </c>
      <c r="B93" s="29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28">
        <f t="shared" si="10"/>
        <v>875</v>
      </c>
      <c r="M93" s="28"/>
      <c r="N93" s="28">
        <f t="shared" si="3"/>
        <v>875</v>
      </c>
      <c r="O93" s="38">
        <f t="shared" si="11"/>
        <v>0</v>
      </c>
    </row>
    <row r="94" spans="1:15" ht="15.95" customHeight="1" x14ac:dyDescent="0.2">
      <c r="A94" s="41" t="s">
        <v>128</v>
      </c>
      <c r="B94" s="29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28">
        <f t="shared" si="10"/>
        <v>5500</v>
      </c>
      <c r="M94" s="28"/>
      <c r="N94" s="28">
        <f t="shared" si="3"/>
        <v>5500</v>
      </c>
      <c r="O94" s="38">
        <f t="shared" si="11"/>
        <v>0</v>
      </c>
    </row>
    <row r="95" spans="1:15" ht="15.95" customHeight="1" x14ac:dyDescent="0.2">
      <c r="A95" s="41" t="s">
        <v>129</v>
      </c>
      <c r="B95" s="29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28">
        <f t="shared" si="10"/>
        <v>2700</v>
      </c>
      <c r="M95" s="28">
        <f>527.45+48</f>
        <v>575.45000000000005</v>
      </c>
      <c r="N95" s="28">
        <f t="shared" si="3"/>
        <v>2124.5500000000002</v>
      </c>
      <c r="O95" s="38">
        <f t="shared" si="11"/>
        <v>2.7586184679556804E-4</v>
      </c>
    </row>
    <row r="96" spans="1:15" ht="15.95" customHeight="1" x14ac:dyDescent="0.2">
      <c r="A96" s="41" t="s">
        <v>196</v>
      </c>
      <c r="B96" s="29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28">
        <f t="shared" si="10"/>
        <v>2800</v>
      </c>
      <c r="M96" s="28">
        <f>89+40+158</f>
        <v>287</v>
      </c>
      <c r="N96" s="28">
        <f t="shared" si="3"/>
        <v>2513</v>
      </c>
      <c r="O96" s="38">
        <f t="shared" si="11"/>
        <v>1.375833695895873E-4</v>
      </c>
    </row>
    <row r="97" spans="1:15" ht="15.95" customHeight="1" x14ac:dyDescent="0.2">
      <c r="A97" s="41" t="s">
        <v>130</v>
      </c>
      <c r="B97" s="29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28">
        <f t="shared" si="10"/>
        <v>8500</v>
      </c>
      <c r="M97" s="28">
        <f>687.48+165+140+326.74</f>
        <v>1319.22</v>
      </c>
      <c r="N97" s="28">
        <f t="shared" si="3"/>
        <v>7180.78</v>
      </c>
      <c r="O97" s="38">
        <f t="shared" si="11"/>
        <v>6.3241370324033236E-4</v>
      </c>
    </row>
    <row r="98" spans="1:15" ht="15.95" customHeight="1" x14ac:dyDescent="0.2">
      <c r="A98" s="41" t="s">
        <v>131</v>
      </c>
      <c r="B98" s="29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28">
        <f t="shared" si="10"/>
        <v>6000</v>
      </c>
      <c r="M98" s="28">
        <v>342.5</v>
      </c>
      <c r="N98" s="28">
        <f t="shared" si="3"/>
        <v>5657.5</v>
      </c>
      <c r="O98" s="38">
        <f t="shared" si="11"/>
        <v>1.6418921283774791E-4</v>
      </c>
    </row>
    <row r="99" spans="1:15" ht="15.95" customHeight="1" x14ac:dyDescent="0.2">
      <c r="A99" s="41" t="s">
        <v>132</v>
      </c>
      <c r="B99" s="29" t="s">
        <v>69</v>
      </c>
      <c r="C99" s="28">
        <v>17500</v>
      </c>
      <c r="D99" s="28"/>
      <c r="E99" s="28"/>
      <c r="F99" s="44"/>
      <c r="G99" s="44"/>
      <c r="H99" s="28"/>
      <c r="I99" s="28"/>
      <c r="J99" s="44"/>
      <c r="K99" s="44"/>
      <c r="L99" s="28">
        <f t="shared" si="10"/>
        <v>17500</v>
      </c>
      <c r="M99" s="28">
        <f>862.5+1427.35</f>
        <v>2289.85</v>
      </c>
      <c r="N99" s="28">
        <f t="shared" si="3"/>
        <v>15210.15</v>
      </c>
      <c r="O99" s="38">
        <f t="shared" si="11"/>
        <v>1.0977187416540645E-3</v>
      </c>
    </row>
    <row r="100" spans="1:15" ht="15.95" customHeight="1" x14ac:dyDescent="0.2">
      <c r="A100" s="41" t="s">
        <v>133</v>
      </c>
      <c r="B100" s="29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28">
        <f t="shared" si="10"/>
        <v>3000</v>
      </c>
      <c r="M100" s="28">
        <f>691.35+274.07+29.5</f>
        <v>994.92000000000007</v>
      </c>
      <c r="N100" s="28">
        <f t="shared" si="3"/>
        <v>2005.08</v>
      </c>
      <c r="O100" s="38">
        <f t="shared" si="11"/>
        <v>4.76949289449729E-4</v>
      </c>
    </row>
    <row r="101" spans="1:15" ht="15.95" customHeight="1" x14ac:dyDescent="0.2">
      <c r="A101" s="41" t="s">
        <v>134</v>
      </c>
      <c r="B101" s="29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0"/>
        <v>1500</v>
      </c>
      <c r="M101" s="28"/>
      <c r="N101" s="28">
        <f t="shared" ref="N101:N140" si="14">L101-M101</f>
        <v>1500</v>
      </c>
      <c r="O101" s="38">
        <f t="shared" si="11"/>
        <v>0</v>
      </c>
    </row>
    <row r="102" spans="1:15" ht="15.95" customHeight="1" x14ac:dyDescent="0.2">
      <c r="A102" s="41" t="s">
        <v>135</v>
      </c>
      <c r="B102" s="29" t="s">
        <v>70</v>
      </c>
      <c r="C102" s="28">
        <v>181653.08</v>
      </c>
      <c r="D102" s="28"/>
      <c r="E102" s="28"/>
      <c r="F102" s="44"/>
      <c r="G102" s="44"/>
      <c r="H102" s="28">
        <v>100000</v>
      </c>
      <c r="I102" s="28"/>
      <c r="J102" s="44"/>
      <c r="K102" s="44"/>
      <c r="L102" s="28">
        <f t="shared" si="10"/>
        <v>281653.07999999996</v>
      </c>
      <c r="M102" s="28"/>
      <c r="N102" s="28">
        <f t="shared" si="14"/>
        <v>281653.07999999996</v>
      </c>
      <c r="O102" s="38">
        <f t="shared" si="11"/>
        <v>0</v>
      </c>
    </row>
    <row r="103" spans="1:15" ht="15.95" hidden="1" customHeight="1" x14ac:dyDescent="0.2">
      <c r="A103" s="41">
        <v>272</v>
      </c>
      <c r="B103" s="29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28">
        <f t="shared" si="10"/>
        <v>0</v>
      </c>
      <c r="M103" s="28"/>
      <c r="N103" s="28">
        <f t="shared" si="14"/>
        <v>0</v>
      </c>
      <c r="O103" s="38">
        <f t="shared" si="11"/>
        <v>0</v>
      </c>
    </row>
    <row r="104" spans="1:15" ht="15.95" hidden="1" customHeight="1" x14ac:dyDescent="0.2">
      <c r="A104" s="41" t="s">
        <v>136</v>
      </c>
      <c r="B104" s="29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0"/>
        <v>0</v>
      </c>
      <c r="M104" s="28"/>
      <c r="N104" s="28">
        <f t="shared" si="14"/>
        <v>0</v>
      </c>
      <c r="O104" s="38">
        <f t="shared" si="11"/>
        <v>0</v>
      </c>
    </row>
    <row r="105" spans="1:15" ht="15.95" customHeight="1" x14ac:dyDescent="0.2">
      <c r="A105" s="41">
        <v>274</v>
      </c>
      <c r="B105" s="29" t="s">
        <v>71</v>
      </c>
      <c r="C105" s="28">
        <v>1500</v>
      </c>
      <c r="D105" s="28"/>
      <c r="E105" s="28"/>
      <c r="F105" s="44"/>
      <c r="G105" s="44"/>
      <c r="H105" s="28">
        <v>10000</v>
      </c>
      <c r="I105" s="28"/>
      <c r="J105" s="44"/>
      <c r="K105" s="44"/>
      <c r="L105" s="28">
        <f t="shared" si="10"/>
        <v>11500</v>
      </c>
      <c r="M105" s="28"/>
      <c r="N105" s="28">
        <f t="shared" si="14"/>
        <v>11500</v>
      </c>
      <c r="O105" s="38">
        <f t="shared" si="11"/>
        <v>0</v>
      </c>
    </row>
    <row r="106" spans="1:15" ht="15.95" hidden="1" customHeight="1" x14ac:dyDescent="0.2">
      <c r="A106" s="41">
        <v>275</v>
      </c>
      <c r="B106" s="29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28">
        <f t="shared" si="10"/>
        <v>0</v>
      </c>
      <c r="M106" s="28"/>
      <c r="N106" s="28">
        <f t="shared" si="14"/>
        <v>0</v>
      </c>
      <c r="O106" s="38">
        <f t="shared" si="11"/>
        <v>0</v>
      </c>
    </row>
    <row r="107" spans="1:15" ht="15.95" customHeight="1" x14ac:dyDescent="0.2">
      <c r="A107" s="41">
        <v>279</v>
      </c>
      <c r="B107" s="29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0"/>
        <v>750</v>
      </c>
      <c r="M107" s="28"/>
      <c r="N107" s="28">
        <f t="shared" si="14"/>
        <v>750</v>
      </c>
      <c r="O107" s="38">
        <f t="shared" si="11"/>
        <v>0</v>
      </c>
    </row>
    <row r="108" spans="1:15" ht="15.95" hidden="1" customHeight="1" x14ac:dyDescent="0.2">
      <c r="A108" s="41">
        <v>281</v>
      </c>
      <c r="B108" s="29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0"/>
        <v>0</v>
      </c>
      <c r="M108" s="28"/>
      <c r="N108" s="28">
        <f t="shared" si="14"/>
        <v>0</v>
      </c>
      <c r="O108" s="38">
        <f t="shared" si="11"/>
        <v>0</v>
      </c>
    </row>
    <row r="109" spans="1:15" ht="15.95" customHeight="1" x14ac:dyDescent="0.2">
      <c r="A109" s="41" t="s">
        <v>137</v>
      </c>
      <c r="B109" s="29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0"/>
        <v>4800</v>
      </c>
      <c r="M109" s="28">
        <f>31.6+60.84+123.51</f>
        <v>215.95</v>
      </c>
      <c r="N109" s="28">
        <f t="shared" si="14"/>
        <v>4584.05</v>
      </c>
      <c r="O109" s="38">
        <f t="shared" si="11"/>
        <v>1.0352309638631143E-4</v>
      </c>
    </row>
    <row r="110" spans="1:15" ht="15.95" customHeight="1" x14ac:dyDescent="0.2">
      <c r="A110" s="41" t="s">
        <v>138</v>
      </c>
      <c r="B110" s="29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0"/>
        <v>28800</v>
      </c>
      <c r="M110" s="28"/>
      <c r="N110" s="28">
        <f t="shared" si="14"/>
        <v>28800</v>
      </c>
      <c r="O110" s="38">
        <f t="shared" si="11"/>
        <v>0</v>
      </c>
    </row>
    <row r="111" spans="1:15" ht="15.95" customHeight="1" x14ac:dyDescent="0.2">
      <c r="A111" s="41" t="s">
        <v>139</v>
      </c>
      <c r="B111" s="29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28">
        <f>C111+D111-E111+F111-G111+H111+J111-I111-K111</f>
        <v>1300000</v>
      </c>
      <c r="M111" s="28"/>
      <c r="N111" s="28">
        <f t="shared" si="14"/>
        <v>1300000</v>
      </c>
      <c r="O111" s="38">
        <f t="shared" si="11"/>
        <v>0</v>
      </c>
    </row>
    <row r="112" spans="1:15" ht="15.95" customHeight="1" x14ac:dyDescent="0.2">
      <c r="A112" s="41">
        <v>286</v>
      </c>
      <c r="B112" s="29" t="s">
        <v>207</v>
      </c>
      <c r="C112" s="28">
        <v>1500</v>
      </c>
      <c r="D112" s="28"/>
      <c r="E112" s="28"/>
      <c r="F112" s="44"/>
      <c r="G112" s="44"/>
      <c r="H112" s="28">
        <v>3000</v>
      </c>
      <c r="I112" s="28"/>
      <c r="J112" s="44"/>
      <c r="K112" s="44"/>
      <c r="L112" s="28">
        <f t="shared" si="10"/>
        <v>4500</v>
      </c>
      <c r="M112" s="28">
        <v>118</v>
      </c>
      <c r="N112" s="28">
        <f t="shared" si="14"/>
        <v>4382</v>
      </c>
      <c r="O112" s="38">
        <f t="shared" si="11"/>
        <v>5.6567378437530671E-5</v>
      </c>
    </row>
    <row r="113" spans="1:15" ht="15.95" hidden="1" customHeight="1" x14ac:dyDescent="0.2">
      <c r="A113" s="41">
        <v>289</v>
      </c>
      <c r="B113" s="29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28">
        <f t="shared" si="10"/>
        <v>0</v>
      </c>
      <c r="M113" s="28"/>
      <c r="N113" s="28">
        <f t="shared" si="14"/>
        <v>0</v>
      </c>
      <c r="O113" s="38">
        <f t="shared" si="11"/>
        <v>0</v>
      </c>
    </row>
    <row r="114" spans="1:15" ht="15.95" customHeight="1" x14ac:dyDescent="0.2">
      <c r="A114" s="41" t="s">
        <v>140</v>
      </c>
      <c r="B114" s="29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0"/>
        <v>6600</v>
      </c>
      <c r="M114" s="28">
        <f>170.3+371+88.55+154.7</f>
        <v>784.55</v>
      </c>
      <c r="N114" s="28">
        <f t="shared" si="14"/>
        <v>5815.45</v>
      </c>
      <c r="O114" s="38">
        <f t="shared" si="11"/>
        <v>3.7610115892512447E-4</v>
      </c>
    </row>
    <row r="115" spans="1:15" ht="32.25" customHeight="1" x14ac:dyDescent="0.2">
      <c r="A115" s="41" t="s">
        <v>141</v>
      </c>
      <c r="B115" s="100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0"/>
        <v>4000</v>
      </c>
      <c r="M115" s="28">
        <f>274.1+117.25+110.65+75.98</f>
        <v>577.98</v>
      </c>
      <c r="N115" s="28">
        <f t="shared" si="14"/>
        <v>3422.02</v>
      </c>
      <c r="O115" s="38">
        <f t="shared" si="11"/>
        <v>2.7707468974003373E-4</v>
      </c>
    </row>
    <row r="116" spans="1:15" ht="15.95" customHeight="1" x14ac:dyDescent="0.2">
      <c r="A116" s="41" t="s">
        <v>142</v>
      </c>
      <c r="B116" s="29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0"/>
        <v>25251.9</v>
      </c>
      <c r="M116" s="28">
        <f>4500+5193.57</f>
        <v>9693.57</v>
      </c>
      <c r="N116" s="28">
        <f t="shared" si="14"/>
        <v>15558.330000000002</v>
      </c>
      <c r="O116" s="38">
        <f t="shared" si="11"/>
        <v>4.646947818649951E-3</v>
      </c>
    </row>
    <row r="117" spans="1:15" ht="15.95" customHeight="1" x14ac:dyDescent="0.2">
      <c r="A117" s="41" t="s">
        <v>143</v>
      </c>
      <c r="B117" s="29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0"/>
        <v>2000</v>
      </c>
      <c r="M117" s="28"/>
      <c r="N117" s="28">
        <f t="shared" si="14"/>
        <v>2000</v>
      </c>
      <c r="O117" s="38">
        <f t="shared" si="11"/>
        <v>0</v>
      </c>
    </row>
    <row r="118" spans="1:15" ht="44.25" customHeight="1" x14ac:dyDescent="0.2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>
        <v>20500</v>
      </c>
      <c r="I118" s="28"/>
      <c r="J118" s="44"/>
      <c r="K118" s="44"/>
      <c r="L118" s="28">
        <f t="shared" si="10"/>
        <v>30000</v>
      </c>
      <c r="M118" s="28">
        <v>194</v>
      </c>
      <c r="N118" s="28">
        <f t="shared" si="14"/>
        <v>29806</v>
      </c>
      <c r="O118" s="38">
        <f t="shared" si="11"/>
        <v>9.3000605227804665E-5</v>
      </c>
    </row>
    <row r="119" spans="1:15" ht="15.95" customHeight="1" x14ac:dyDescent="0.2">
      <c r="A119" s="41" t="s">
        <v>145</v>
      </c>
      <c r="B119" s="29" t="s">
        <v>77</v>
      </c>
      <c r="C119" s="28">
        <v>76000</v>
      </c>
      <c r="D119" s="28"/>
      <c r="E119" s="28"/>
      <c r="F119" s="44"/>
      <c r="G119" s="44"/>
      <c r="H119" s="28">
        <v>75000</v>
      </c>
      <c r="I119" s="28"/>
      <c r="J119" s="44"/>
      <c r="K119" s="44"/>
      <c r="L119" s="28">
        <f t="shared" si="10"/>
        <v>151000</v>
      </c>
      <c r="M119" s="28"/>
      <c r="N119" s="28">
        <f t="shared" si="14"/>
        <v>151000</v>
      </c>
      <c r="O119" s="38">
        <f t="shared" si="11"/>
        <v>0</v>
      </c>
    </row>
    <row r="120" spans="1:15" ht="15.95" customHeight="1" x14ac:dyDescent="0.2">
      <c r="A120" s="41" t="s">
        <v>146</v>
      </c>
      <c r="B120" s="29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28">
        <f t="shared" si="10"/>
        <v>9500</v>
      </c>
      <c r="M120" s="28">
        <f>256.15+122.2+625.35</f>
        <v>1003.7</v>
      </c>
      <c r="N120" s="28">
        <f t="shared" si="14"/>
        <v>8496.2999999999993</v>
      </c>
      <c r="O120" s="38">
        <f t="shared" si="11"/>
        <v>4.8115828591313169E-4</v>
      </c>
    </row>
    <row r="121" spans="1:15" ht="15.95" customHeight="1" x14ac:dyDescent="0.2">
      <c r="A121" s="41"/>
      <c r="B121" s="29"/>
      <c r="C121" s="28"/>
      <c r="D121" s="28"/>
      <c r="E121" s="28"/>
      <c r="F121" s="44"/>
      <c r="G121" s="44"/>
      <c r="H121" s="28"/>
      <c r="I121" s="28"/>
      <c r="J121" s="44"/>
      <c r="K121" s="44"/>
      <c r="L121" s="28"/>
      <c r="M121" s="28"/>
      <c r="N121" s="28"/>
      <c r="O121" s="38"/>
    </row>
    <row r="122" spans="1:15" ht="15.95" customHeight="1" x14ac:dyDescent="0.2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5">
      <c r="A124" s="39">
        <v>3</v>
      </c>
      <c r="B124" s="40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">
      <c r="A125" s="42" t="s">
        <v>211</v>
      </c>
      <c r="B125" s="43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28">
        <f t="shared" ref="L125:L131" si="15">C125+D125-E125+F125-G125+H125+J125-K125</f>
        <v>10000</v>
      </c>
      <c r="M125" s="28"/>
      <c r="N125" s="28">
        <f t="shared" si="14"/>
        <v>10000</v>
      </c>
      <c r="O125" s="38">
        <f>M125/$M$141</f>
        <v>0</v>
      </c>
    </row>
    <row r="126" spans="1:15" ht="15.95" hidden="1" customHeight="1" x14ac:dyDescent="0.2">
      <c r="A126" s="42" t="s">
        <v>80</v>
      </c>
      <c r="B126" s="43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si="15"/>
        <v>0</v>
      </c>
      <c r="M126" s="28"/>
      <c r="N126" s="28">
        <f t="shared" si="14"/>
        <v>0</v>
      </c>
      <c r="O126" s="38">
        <f>M126/$M$141</f>
        <v>0</v>
      </c>
    </row>
    <row r="127" spans="1:15" ht="15.95" customHeight="1" x14ac:dyDescent="0.2">
      <c r="A127" s="42" t="s">
        <v>214</v>
      </c>
      <c r="B127" s="43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5"/>
        <v>304035</v>
      </c>
      <c r="M127" s="28"/>
      <c r="N127" s="28">
        <f t="shared" si="14"/>
        <v>304035</v>
      </c>
      <c r="O127" s="38">
        <f>M127/$M$141</f>
        <v>0</v>
      </c>
    </row>
    <row r="128" spans="1:15" ht="15.95" customHeight="1" x14ac:dyDescent="0.2">
      <c r="A128" s="42">
        <v>325</v>
      </c>
      <c r="B128" s="43" t="s">
        <v>268</v>
      </c>
      <c r="C128" s="44"/>
      <c r="D128" s="28"/>
      <c r="E128" s="28"/>
      <c r="F128" s="44"/>
      <c r="G128" s="44"/>
      <c r="H128" s="28">
        <v>25000</v>
      </c>
      <c r="I128" s="28"/>
      <c r="J128" s="44"/>
      <c r="K128" s="44"/>
      <c r="L128" s="28">
        <f t="shared" si="15"/>
        <v>25000</v>
      </c>
      <c r="M128" s="28"/>
      <c r="N128" s="28">
        <f t="shared" si="14"/>
        <v>25000</v>
      </c>
      <c r="O128" s="38"/>
    </row>
    <row r="129" spans="1:15" ht="15.95" customHeight="1" x14ac:dyDescent="0.2">
      <c r="A129" s="42" t="s">
        <v>216</v>
      </c>
      <c r="B129" s="43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28">
        <f t="shared" si="15"/>
        <v>1500</v>
      </c>
      <c r="M129" s="28"/>
      <c r="N129" s="28">
        <f t="shared" si="14"/>
        <v>1500</v>
      </c>
      <c r="O129" s="38">
        <f>M129/$M$141</f>
        <v>0</v>
      </c>
    </row>
    <row r="130" spans="1:15" ht="15.95" customHeight="1" x14ac:dyDescent="0.2">
      <c r="A130" s="42">
        <v>328</v>
      </c>
      <c r="B130" s="43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5"/>
        <v>40000</v>
      </c>
      <c r="M130" s="28"/>
      <c r="N130" s="28">
        <f t="shared" si="14"/>
        <v>40000</v>
      </c>
      <c r="O130" s="38">
        <f>+M130/M141</f>
        <v>0</v>
      </c>
    </row>
    <row r="131" spans="1:15" ht="15.95" customHeight="1" x14ac:dyDescent="0.2">
      <c r="A131" s="42" t="s">
        <v>218</v>
      </c>
      <c r="B131" s="43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5"/>
        <v>14300</v>
      </c>
      <c r="M131" s="28"/>
      <c r="N131" s="28">
        <f t="shared" si="14"/>
        <v>14300</v>
      </c>
      <c r="O131" s="38">
        <f>M131/$M$141</f>
        <v>0</v>
      </c>
    </row>
    <row r="132" spans="1:15" ht="15.95" hidden="1" customHeight="1" x14ac:dyDescent="0.2">
      <c r="A132" s="42" t="s">
        <v>220</v>
      </c>
      <c r="B132" s="43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ref="L132" si="16">C132+D132-E132+F132-G132+J132-K132</f>
        <v>0</v>
      </c>
      <c r="M132" s="28"/>
      <c r="N132" s="28">
        <f t="shared" si="14"/>
        <v>0</v>
      </c>
      <c r="O132" s="38">
        <f>M132/$M$141</f>
        <v>0</v>
      </c>
    </row>
    <row r="133" spans="1:15" ht="15.95" customHeight="1" x14ac:dyDescent="0.2">
      <c r="A133" s="42"/>
      <c r="B133" s="43"/>
      <c r="C133" s="44"/>
      <c r="D133" s="28"/>
      <c r="E133" s="28"/>
      <c r="F133" s="44"/>
      <c r="G133" s="44"/>
      <c r="H133" s="28"/>
      <c r="I133" s="28"/>
      <c r="J133" s="44"/>
      <c r="K133" s="44"/>
      <c r="L133" s="28"/>
      <c r="M133" s="28"/>
      <c r="N133" s="28"/>
      <c r="O133" s="38"/>
    </row>
    <row r="134" spans="1:15" ht="15.95" customHeight="1" x14ac:dyDescent="0.2">
      <c r="A134" s="41"/>
      <c r="B134" s="29"/>
      <c r="C134" s="28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5">
      <c r="A135" s="39">
        <v>4</v>
      </c>
      <c r="B135" s="40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">
      <c r="A136" s="41" t="s">
        <v>222</v>
      </c>
      <c r="B136" s="29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28">
        <f t="shared" ref="L136:L137" si="17">C136+D136-E136+F136-G136+H136+J136-K136</f>
        <v>185900</v>
      </c>
      <c r="M136" s="28"/>
      <c r="N136" s="28">
        <f t="shared" si="14"/>
        <v>185900</v>
      </c>
      <c r="O136" s="38">
        <f>M136/$M$141</f>
        <v>0</v>
      </c>
    </row>
    <row r="137" spans="1:15" ht="15.95" customHeight="1" x14ac:dyDescent="0.2">
      <c r="A137" s="41" t="s">
        <v>223</v>
      </c>
      <c r="B137" s="29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28">
        <f t="shared" si="17"/>
        <v>7170</v>
      </c>
      <c r="M137" s="28"/>
      <c r="N137" s="28">
        <f t="shared" si="14"/>
        <v>7170</v>
      </c>
      <c r="O137" s="38">
        <f>M137/$M$141</f>
        <v>0</v>
      </c>
    </row>
    <row r="138" spans="1:15" ht="15.95" customHeight="1" x14ac:dyDescent="0.2">
      <c r="A138" s="41" t="s">
        <v>225</v>
      </c>
      <c r="B138" s="29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28">
        <f>C138+D138-E138+F138-G138+H138+J138-K138</f>
        <v>70000</v>
      </c>
      <c r="M138" s="28"/>
      <c r="N138" s="28">
        <f t="shared" si="14"/>
        <v>70000</v>
      </c>
      <c r="O138" s="38">
        <f>M138/$M$141</f>
        <v>0</v>
      </c>
    </row>
    <row r="139" spans="1:15" ht="32.25" customHeight="1" x14ac:dyDescent="0.2">
      <c r="A139" s="41">
        <v>453</v>
      </c>
      <c r="B139" s="100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28">
        <f>C139+D139-E139+F139-G139+H139+J139-K139</f>
        <v>120000</v>
      </c>
      <c r="M139" s="28">
        <v>118168.58</v>
      </c>
      <c r="N139" s="28">
        <f t="shared" si="14"/>
        <v>1831.4199999999983</v>
      </c>
      <c r="O139" s="38"/>
    </row>
    <row r="140" spans="1:15" ht="34.5" customHeight="1" thickBot="1" x14ac:dyDescent="0.25">
      <c r="A140" s="41" t="s">
        <v>227</v>
      </c>
      <c r="B140" s="100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28">
        <f t="shared" ref="L140" si="18">C140+D140-E140+F140-G140+H140+J140-K140</f>
        <v>8750</v>
      </c>
      <c r="M140" s="28"/>
      <c r="N140" s="28">
        <f t="shared" si="14"/>
        <v>8750</v>
      </c>
      <c r="O140" s="38">
        <f>M140/$M$141</f>
        <v>0</v>
      </c>
    </row>
    <row r="141" spans="1:15" ht="18" customHeight="1" thickBot="1" x14ac:dyDescent="0.3">
      <c r="A141" s="32"/>
      <c r="B141" s="33" t="s">
        <v>90</v>
      </c>
      <c r="C141" s="34">
        <f t="shared" ref="C141:N141" si="19">SUM(C31:C140)</f>
        <v>8258523.6200000001</v>
      </c>
      <c r="D141" s="34">
        <f t="shared" si="19"/>
        <v>0</v>
      </c>
      <c r="E141" s="34">
        <f t="shared" si="19"/>
        <v>0</v>
      </c>
      <c r="F141" s="34">
        <f t="shared" si="19"/>
        <v>584600</v>
      </c>
      <c r="G141" s="34">
        <f t="shared" si="19"/>
        <v>584600</v>
      </c>
      <c r="H141" s="34">
        <f t="shared" si="19"/>
        <v>2655496.71</v>
      </c>
      <c r="I141" s="34">
        <f t="shared" si="19"/>
        <v>0</v>
      </c>
      <c r="J141" s="64">
        <f t="shared" si="19"/>
        <v>0</v>
      </c>
      <c r="K141" s="64">
        <f t="shared" si="19"/>
        <v>0</v>
      </c>
      <c r="L141" s="34">
        <f>SUM(L31:L140)</f>
        <v>10914020.33</v>
      </c>
      <c r="M141" s="34">
        <f>SUM(M31:M140)</f>
        <v>2086007.9300000002</v>
      </c>
      <c r="N141" s="34">
        <f t="shared" si="19"/>
        <v>8828012.4000000004</v>
      </c>
      <c r="O141" s="45">
        <v>1</v>
      </c>
    </row>
    <row r="142" spans="1:15" x14ac:dyDescent="0.2">
      <c r="A142" s="46"/>
      <c r="B142" s="75"/>
      <c r="C142" s="77"/>
      <c r="D142" s="76"/>
      <c r="E142" s="47"/>
      <c r="F142" s="47"/>
      <c r="G142" s="47"/>
      <c r="H142" s="47"/>
      <c r="I142" s="47"/>
      <c r="J142" s="65"/>
      <c r="K142" s="65"/>
      <c r="L142" s="47"/>
      <c r="M142" s="47"/>
      <c r="N142" s="47"/>
    </row>
    <row r="143" spans="1:15" ht="15.75" thickBot="1" x14ac:dyDescent="0.25">
      <c r="E143" s="12"/>
      <c r="F143" s="4"/>
      <c r="L143" s="14"/>
      <c r="M143" s="4"/>
    </row>
    <row r="144" spans="1:15" ht="15.75" x14ac:dyDescent="0.25">
      <c r="A144" s="1" t="s">
        <v>83</v>
      </c>
      <c r="B144" s="2"/>
      <c r="C144" s="3"/>
      <c r="D144" s="4"/>
      <c r="E144" s="4"/>
      <c r="F144" s="4"/>
      <c r="G144" s="4"/>
      <c r="H144" s="4"/>
      <c r="I144" s="4"/>
      <c r="J144" s="66"/>
      <c r="K144" s="66"/>
      <c r="L144" s="4"/>
      <c r="M144" s="4"/>
    </row>
    <row r="145" spans="1:13" ht="15.75" x14ac:dyDescent="0.25">
      <c r="A145" s="5" t="s">
        <v>2</v>
      </c>
      <c r="B145" s="6"/>
      <c r="C145" s="7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5.0999999999999996" customHeight="1" thickBot="1" x14ac:dyDescent="0.25">
      <c r="A146" s="8"/>
      <c r="B146" s="9"/>
      <c r="C146" s="10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6.95" customHeight="1" x14ac:dyDescent="0.2">
      <c r="A147" s="48"/>
      <c r="B147" s="49"/>
      <c r="C147" s="5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x14ac:dyDescent="0.2">
      <c r="A148" s="51" t="s">
        <v>84</v>
      </c>
      <c r="B148" s="52"/>
      <c r="C148" s="53"/>
      <c r="D148" s="4"/>
      <c r="E148" s="4"/>
      <c r="F148" s="4"/>
      <c r="G148" s="4"/>
      <c r="H148" s="4"/>
      <c r="I148" s="4"/>
      <c r="J148" s="66"/>
      <c r="K148" s="66"/>
      <c r="L148" s="4"/>
    </row>
    <row r="149" spans="1:13" x14ac:dyDescent="0.2">
      <c r="A149" s="54" t="s">
        <v>257</v>
      </c>
      <c r="B149" s="52"/>
      <c r="C149" s="69">
        <v>1808838.07</v>
      </c>
      <c r="D149" s="47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258</v>
      </c>
      <c r="B150" s="52"/>
      <c r="C150" s="69">
        <v>-22528.77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249</v>
      </c>
      <c r="B151" s="52"/>
      <c r="C151" s="69"/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83" t="s">
        <v>239</v>
      </c>
      <c r="B152" s="52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259</v>
      </c>
      <c r="B153" s="52"/>
      <c r="C153" s="69">
        <f>1174639.32+309594.02-600</f>
        <v>1483633.34</v>
      </c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54" t="s">
        <v>85</v>
      </c>
      <c r="B154" s="52"/>
      <c r="C154" s="69">
        <f>M26</f>
        <v>3002886.93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86</v>
      </c>
      <c r="B155" s="52"/>
      <c r="C155" s="70">
        <f>-M141</f>
        <v>-2086007.9300000002</v>
      </c>
      <c r="D155" s="4"/>
      <c r="E155" s="4"/>
      <c r="F155" s="4"/>
      <c r="G155" s="4"/>
      <c r="H155" s="4"/>
      <c r="I155" s="4"/>
      <c r="J155" s="66"/>
      <c r="K155" s="66"/>
      <c r="L155" s="4"/>
    </row>
    <row r="156" spans="1:13" ht="15.75" x14ac:dyDescent="0.25">
      <c r="A156" s="55" t="s">
        <v>87</v>
      </c>
      <c r="B156" s="56"/>
      <c r="C156" s="71">
        <f>SUM(C149:C155)</f>
        <v>4186821.64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/>
      <c r="B157" s="56"/>
      <c r="C157" s="71"/>
      <c r="D157" s="4"/>
      <c r="E157" s="4"/>
      <c r="F157" s="4"/>
      <c r="G157" s="4"/>
      <c r="H157" s="4"/>
      <c r="I157" s="4"/>
      <c r="J157" s="66"/>
      <c r="K157" s="66"/>
      <c r="L157" s="4"/>
    </row>
    <row r="158" spans="1:13" x14ac:dyDescent="0.2">
      <c r="A158" s="51" t="s">
        <v>88</v>
      </c>
      <c r="B158" s="52"/>
      <c r="C158" s="69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ht="12" customHeight="1" x14ac:dyDescent="0.2">
      <c r="A159" s="54" t="s">
        <v>147</v>
      </c>
      <c r="B159" s="52"/>
      <c r="C159" s="69">
        <v>276.89999999999998</v>
      </c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241</v>
      </c>
      <c r="B160" s="52"/>
      <c r="C160" s="69">
        <v>825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248</v>
      </c>
      <c r="B161" s="52"/>
      <c r="C161" s="69">
        <f>22546.14-7520.79-0.03</f>
        <v>15025.319999999998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x14ac:dyDescent="0.2">
      <c r="A162" s="54" t="s">
        <v>150</v>
      </c>
      <c r="B162" s="52"/>
      <c r="C162" s="69">
        <f>7400.08+3349.81+693.54+28.04</f>
        <v>11471.470000000001</v>
      </c>
      <c r="D162" s="79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149</v>
      </c>
      <c r="B163" s="52"/>
      <c r="C163" s="69">
        <f>2330.99-690.47</f>
        <v>1640.5199999999998</v>
      </c>
      <c r="D163" s="80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148</v>
      </c>
      <c r="B164" s="52"/>
      <c r="C164" s="69">
        <f>16487.12-3133.66</f>
        <v>13353.46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253</v>
      </c>
      <c r="B165" s="52"/>
      <c r="C165" s="69">
        <f>191.14+163.24+150</f>
        <v>504.38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/>
      <c r="B166" s="52"/>
      <c r="C166" s="69"/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52"/>
      <c r="C167" s="70"/>
      <c r="D167" s="81"/>
      <c r="E167" s="82"/>
      <c r="F167" s="4"/>
      <c r="G167" s="4"/>
      <c r="H167" s="4"/>
      <c r="I167" s="4"/>
      <c r="J167" s="66"/>
      <c r="K167" s="66"/>
      <c r="L167" s="4"/>
    </row>
    <row r="168" spans="1:13" ht="15.75" x14ac:dyDescent="0.25">
      <c r="A168" s="55"/>
      <c r="B168" s="56"/>
      <c r="C168" s="71">
        <f>SUM(C159:C167)</f>
        <v>43097.049999999996</v>
      </c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2.1" customHeight="1" x14ac:dyDescent="0.25">
      <c r="A169" s="55"/>
      <c r="B169" s="56"/>
      <c r="C169" s="72"/>
      <c r="D169" s="80"/>
      <c r="E169" s="4"/>
      <c r="F169" s="4"/>
      <c r="G169" s="4"/>
      <c r="H169" s="4"/>
      <c r="I169" s="4"/>
      <c r="J169" s="66"/>
      <c r="K169" s="66"/>
      <c r="L169" s="4"/>
    </row>
    <row r="170" spans="1:13" x14ac:dyDescent="0.2">
      <c r="A170" s="54"/>
      <c r="B170" s="52"/>
      <c r="C170" s="69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ht="2.1" customHeight="1" thickBot="1" x14ac:dyDescent="0.3">
      <c r="A171" s="57" t="s">
        <v>238</v>
      </c>
      <c r="B171" s="58"/>
      <c r="C171" s="68">
        <f>C156+C168</f>
        <v>4229918.6900000004</v>
      </c>
      <c r="D171" s="79"/>
      <c r="E171" s="4"/>
      <c r="F171" s="4"/>
      <c r="G171" s="4"/>
      <c r="H171" s="4"/>
      <c r="I171" s="4"/>
      <c r="J171" s="66"/>
      <c r="K171" s="66"/>
      <c r="L171" s="4"/>
    </row>
    <row r="172" spans="1:13" ht="9.9499999999999993" customHeight="1" x14ac:dyDescent="0.2">
      <c r="A172" s="54"/>
      <c r="B172" s="52"/>
      <c r="C172" s="69"/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16.5" thickBot="1" x14ac:dyDescent="0.3">
      <c r="A173" s="57" t="s">
        <v>267</v>
      </c>
      <c r="B173" s="58"/>
      <c r="C173" s="68">
        <f>C156+C168</f>
        <v>4229918.6900000004</v>
      </c>
      <c r="D173" s="81"/>
      <c r="E173" s="4"/>
      <c r="F173" s="4"/>
      <c r="G173" s="4"/>
      <c r="H173" s="4"/>
      <c r="I173" s="4"/>
      <c r="J173" s="66"/>
      <c r="K173" s="66"/>
      <c r="L173" s="4"/>
      <c r="M173" s="4"/>
    </row>
    <row r="174" spans="1:13" x14ac:dyDescent="0.2">
      <c r="A174" s="52"/>
      <c r="B174" s="86"/>
      <c r="C174" s="4"/>
      <c r="D174" s="4"/>
      <c r="E174" s="4"/>
      <c r="F174" s="4"/>
      <c r="G174" s="4"/>
      <c r="H174" s="4"/>
      <c r="I174" s="4"/>
      <c r="J174" s="66"/>
      <c r="K174" s="66"/>
      <c r="L174" s="4"/>
    </row>
    <row r="175" spans="1:13" x14ac:dyDescent="0.2">
      <c r="B175" s="86"/>
      <c r="C175" s="87"/>
      <c r="D175" s="4"/>
      <c r="E175" s="4"/>
    </row>
    <row r="176" spans="1:13" x14ac:dyDescent="0.2">
      <c r="C176" s="13"/>
      <c r="D176" s="4"/>
    </row>
    <row r="177" spans="2:12" x14ac:dyDescent="0.2">
      <c r="C177" s="13"/>
      <c r="D177" s="4"/>
    </row>
    <row r="178" spans="2:12" x14ac:dyDescent="0.2">
      <c r="C178" s="14"/>
      <c r="D178" s="4"/>
      <c r="I178" s="4"/>
      <c r="K178" s="66"/>
      <c r="L178" s="4"/>
    </row>
    <row r="179" spans="2:12" x14ac:dyDescent="0.2">
      <c r="C179" s="14"/>
      <c r="D179" s="4"/>
    </row>
    <row r="180" spans="2:12" x14ac:dyDescent="0.2">
      <c r="C180" s="14"/>
      <c r="D180" s="4"/>
    </row>
    <row r="181" spans="2:12" x14ac:dyDescent="0.2">
      <c r="C181" s="14"/>
      <c r="D181" s="4"/>
    </row>
    <row r="182" spans="2:12" x14ac:dyDescent="0.2">
      <c r="C182" s="14"/>
      <c r="D182" s="4"/>
    </row>
    <row r="183" spans="2:12" x14ac:dyDescent="0.2">
      <c r="D183" s="4"/>
    </row>
    <row r="184" spans="2:12" x14ac:dyDescent="0.2">
      <c r="D184" s="4"/>
    </row>
    <row r="185" spans="2:12" x14ac:dyDescent="0.2">
      <c r="B185" s="84" t="s">
        <v>254</v>
      </c>
      <c r="C185" s="85" t="s">
        <v>255</v>
      </c>
      <c r="E185" s="85"/>
      <c r="G185" s="84" t="s">
        <v>260</v>
      </c>
      <c r="J185" s="85" t="s">
        <v>252</v>
      </c>
      <c r="K185" s="74"/>
    </row>
    <row r="186" spans="2:12" x14ac:dyDescent="0.2">
      <c r="B186" s="84" t="s">
        <v>89</v>
      </c>
      <c r="C186" s="85" t="s">
        <v>261</v>
      </c>
      <c r="E186" s="85"/>
      <c r="G186" s="84" t="s">
        <v>247</v>
      </c>
      <c r="J186" s="84" t="s">
        <v>242</v>
      </c>
    </row>
    <row r="190" spans="2:12" x14ac:dyDescent="0.2">
      <c r="I190" s="4"/>
      <c r="K190" s="66"/>
      <c r="L190" s="4"/>
    </row>
    <row r="191" spans="2:12" x14ac:dyDescent="0.2">
      <c r="I191" s="4"/>
      <c r="K191" s="66"/>
      <c r="L191" s="4"/>
    </row>
    <row r="192" spans="2:12" x14ac:dyDescent="0.2">
      <c r="G192" s="59"/>
      <c r="I192" s="59"/>
      <c r="K192" s="67"/>
      <c r="L192" s="4"/>
    </row>
    <row r="193" spans="7:12" x14ac:dyDescent="0.2">
      <c r="G193" s="59"/>
      <c r="I193" s="59"/>
      <c r="K193" s="67"/>
      <c r="L193" s="4"/>
    </row>
    <row r="194" spans="7:12" x14ac:dyDescent="0.2">
      <c r="G194" s="59"/>
      <c r="L194" s="4"/>
    </row>
    <row r="195" spans="7:12" x14ac:dyDescent="0.2">
      <c r="G195" s="59"/>
    </row>
    <row r="196" spans="7:12" x14ac:dyDescent="0.2">
      <c r="G196" s="59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fitToHeight="0" orientation="landscape" horizontalDpi="360" verticalDpi="360" r:id="rId1"/>
  <rowBreaks count="2" manualBreakCount="2">
    <brk id="56" max="16383" man="1"/>
    <brk id="120" max="16383" man="1"/>
  </rowBreaks>
  <ignoredErrors>
    <ignoredError sqref="L2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0D1B2-97EA-4168-A8A2-7C145B1E2CF0}">
  <sheetPr>
    <pageSetUpPr fitToPage="1"/>
  </sheetPr>
  <dimension ref="A1:Q212"/>
  <sheetViews>
    <sheetView topLeftCell="A135" zoomScaleNormal="100" workbookViewId="0">
      <selection sqref="A1:O189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" width="11.42578125" style="11"/>
    <col min="17" max="17" width="24.140625" style="11" customWidth="1"/>
    <col min="18" max="16384" width="11.42578125" style="11"/>
  </cols>
  <sheetData>
    <row r="1" spans="1:15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11600+4601+400+1200+1000</f>
        <v>18801</v>
      </c>
      <c r="N10" s="28">
        <f t="shared" ref="N10:N22" si="1">L10-M10</f>
        <v>18199</v>
      </c>
      <c r="O10" s="27">
        <f>M10/$M$26</f>
        <v>5.4266742783848059E-3</v>
      </c>
    </row>
    <row r="11" spans="1:15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1.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v>0.41</v>
      </c>
      <c r="N12" s="28">
        <f t="shared" si="1"/>
        <v>30499.59</v>
      </c>
      <c r="O12" s="27">
        <f>M12/$M$26</f>
        <v>1.1834138897599969E-7</v>
      </c>
    </row>
    <row r="13" spans="1:15" ht="30.7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722.57+661.17+900.19+486.53+213.8</f>
        <v>2984.26</v>
      </c>
      <c r="N15" s="28">
        <f t="shared" si="1"/>
        <v>5815.74</v>
      </c>
      <c r="O15" s="27">
        <f>M15/$M$26</f>
        <v>8.6136944747687051E-4</v>
      </c>
    </row>
    <row r="16" spans="1:15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7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7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28">
        <f>C18+D18-E18+F18-G18+H18-I18+J18-I18-K18</f>
        <v>3968096.55</v>
      </c>
      <c r="M18" s="28">
        <f>249714.95+226495.4+345713.01+485074.38+299450.28</f>
        <v>1606448.02</v>
      </c>
      <c r="N18" s="28">
        <f t="shared" si="1"/>
        <v>2361648.5299999998</v>
      </c>
      <c r="O18" s="27">
        <f>M18/$M$26</f>
        <v>0.46368119513303546</v>
      </c>
    </row>
    <row r="19" spans="1:17" ht="15.95" hidden="1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</row>
    <row r="20" spans="1:17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28">
        <f>C20+D20-E20+F20-G20+H20-I20+J20-K20</f>
        <v>4261525.5600000005</v>
      </c>
      <c r="M20" s="28">
        <f>1675317.32+161001.87</f>
        <v>1836319.19</v>
      </c>
      <c r="N20" s="28">
        <f t="shared" si="1"/>
        <v>2425206.3700000006</v>
      </c>
      <c r="O20" s="27">
        <f>M20/$M$26</f>
        <v>0.5300306427997139</v>
      </c>
    </row>
    <row r="21" spans="1:17" ht="15.95" customHeight="1" x14ac:dyDescent="0.25">
      <c r="A21" s="29" t="s">
        <v>25</v>
      </c>
      <c r="B21" s="100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  <c r="Q21" s="4"/>
    </row>
    <row r="22" spans="1:17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  <c r="Q22" s="4"/>
    </row>
    <row r="23" spans="1:17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7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7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7" ht="18" customHeight="1" thickBot="1" x14ac:dyDescent="0.3">
      <c r="A26" s="32"/>
      <c r="B26" s="106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10914020.330000002</v>
      </c>
      <c r="M26" s="34">
        <f>SUM(M10:M25)</f>
        <v>3464552.88</v>
      </c>
      <c r="N26" s="34">
        <f t="shared" si="2"/>
        <v>7449467.4500000011</v>
      </c>
      <c r="O26" s="27"/>
    </row>
    <row r="27" spans="1:17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7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7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7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7" ht="15.95" customHeight="1" x14ac:dyDescent="0.2">
      <c r="A31" s="41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28">
        <f>C31+D31-E31+F31-G31+H31+J31-I31-K31</f>
        <v>846201.45000000007</v>
      </c>
      <c r="M31" s="28">
        <f>59982.77+68194.09+68194.09+68194.09+68194.09</f>
        <v>332759.13</v>
      </c>
      <c r="N31" s="28">
        <f t="shared" ref="N31:N101" si="3">L31-M31</f>
        <v>513442.32000000007</v>
      </c>
      <c r="O31" s="38">
        <f>M31/$M$142</f>
        <v>8.0304503329092003E-2</v>
      </c>
    </row>
    <row r="32" spans="1:17" ht="15.9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f>750+750+750+750+750</f>
        <v>3750</v>
      </c>
      <c r="N32" s="28">
        <f t="shared" si="3"/>
        <v>9950</v>
      </c>
      <c r="O32" s="38">
        <f>M32/$M$142</f>
        <v>9.0498459797059509E-4</v>
      </c>
    </row>
    <row r="33" spans="1:15" ht="15.9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f>18899+21149+21149+21149+21149</f>
        <v>103495</v>
      </c>
      <c r="N33" s="28">
        <f t="shared" si="3"/>
        <v>207605</v>
      </c>
      <c r="O33" s="38">
        <f>M33/$M$142</f>
        <v>2.4976368257857796E-2</v>
      </c>
    </row>
    <row r="34" spans="1:15" ht="15.95" customHeight="1" x14ac:dyDescent="0.3">
      <c r="A34" s="41" t="s">
        <v>250</v>
      </c>
      <c r="B34" s="100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5">M35/$M$142</f>
        <v>0</v>
      </c>
    </row>
    <row r="36" spans="1:15" ht="15.95" customHeight="1" x14ac:dyDescent="0.2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/>
      <c r="K36" s="44"/>
      <c r="L36" s="28">
        <f t="shared" si="4"/>
        <v>17500</v>
      </c>
      <c r="M36" s="28">
        <f>540+1620+1620+2340+2520</f>
        <v>8640</v>
      </c>
      <c r="N36" s="28">
        <f t="shared" si="3"/>
        <v>8860</v>
      </c>
      <c r="O36" s="38">
        <f t="shared" si="5"/>
        <v>2.0850845137242511E-3</v>
      </c>
    </row>
    <row r="37" spans="1:15" ht="15.95" customHeight="1" x14ac:dyDescent="0.2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f>818.04+1159.97+2178.62</f>
        <v>4156.63</v>
      </c>
      <c r="N37" s="28">
        <f t="shared" si="3"/>
        <v>30354.170000000002</v>
      </c>
      <c r="O37" s="38">
        <f t="shared" si="5"/>
        <v>1.003116301190004E-3</v>
      </c>
    </row>
    <row r="38" spans="1:15" ht="15.95" customHeight="1" x14ac:dyDescent="0.2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28">
        <f t="shared" si="4"/>
        <v>115401.15</v>
      </c>
      <c r="M38" s="28">
        <f>6400.16+7276.31+7363.59+7400.08+7508.77</f>
        <v>35948.910000000003</v>
      </c>
      <c r="N38" s="28">
        <f t="shared" si="3"/>
        <v>79452.239999999991</v>
      </c>
      <c r="O38" s="38">
        <f t="shared" si="5"/>
        <v>8.6755226303549624E-3</v>
      </c>
    </row>
    <row r="39" spans="1:15" ht="15.95" customHeight="1" x14ac:dyDescent="0.2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599.83+681.94+690.12+693.54+703.73</f>
        <v>3369.16</v>
      </c>
      <c r="N39" s="28">
        <f t="shared" si="3"/>
        <v>11821.68</v>
      </c>
      <c r="O39" s="38">
        <f t="shared" si="5"/>
        <v>8.1307677549296274E-4</v>
      </c>
    </row>
    <row r="40" spans="1:15" ht="15.95" customHeight="1" x14ac:dyDescent="0.2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28">
        <f t="shared" si="4"/>
        <v>75581.009999999995</v>
      </c>
      <c r="M40" s="28"/>
      <c r="N40" s="28">
        <f t="shared" si="3"/>
        <v>75581.009999999995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28">
        <f t="shared" si="4"/>
        <v>75581.009999999995</v>
      </c>
      <c r="M41" s="28"/>
      <c r="N41" s="28">
        <f t="shared" si="3"/>
        <v>75581.009999999995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3"/>
        <v>5000</v>
      </c>
      <c r="O42" s="38">
        <f t="shared" si="5"/>
        <v>0</v>
      </c>
    </row>
    <row r="43" spans="1:15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100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108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100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1" si="6">C46+D46-E46+F46-G46+H46+J46-K46</f>
        <v>13750</v>
      </c>
      <c r="M46" s="28">
        <f>346.37+964.95+1334.04+944.75+883.05</f>
        <v>4473.16</v>
      </c>
      <c r="N46" s="28">
        <f t="shared" si="3"/>
        <v>9276.84</v>
      </c>
      <c r="O46" s="38">
        <f t="shared" ref="O46:O55" si="7">M46/$M$142</f>
        <v>1.0795042411355059E-3</v>
      </c>
    </row>
    <row r="47" spans="1:15" ht="15.95" customHeight="1" x14ac:dyDescent="0.2">
      <c r="A47" s="41" t="s">
        <v>92</v>
      </c>
      <c r="B47" s="100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f>7409.06+619.68+618+618+625.84</f>
        <v>9890.5800000000017</v>
      </c>
      <c r="N47" s="28">
        <f t="shared" si="3"/>
        <v>16209.419999999998</v>
      </c>
      <c r="O47" s="38">
        <f t="shared" si="7"/>
        <v>2.3868860173322693E-3</v>
      </c>
    </row>
    <row r="48" spans="1:15" ht="15.95" customHeight="1" x14ac:dyDescent="0.2">
      <c r="A48" s="41" t="s">
        <v>93</v>
      </c>
      <c r="B48" s="100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f>469.55+470.27+568.5</f>
        <v>1508.32</v>
      </c>
      <c r="N48" s="28">
        <f t="shared" si="3"/>
        <v>491.68000000000006</v>
      </c>
      <c r="O48" s="38">
        <f t="shared" si="7"/>
        <v>3.6400169834960213E-4</v>
      </c>
    </row>
    <row r="49" spans="1:15" ht="15.95" customHeight="1" x14ac:dyDescent="0.2">
      <c r="A49" s="41" t="s">
        <v>94</v>
      </c>
      <c r="B49" s="100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>
        <v>2040</v>
      </c>
      <c r="N49" s="28">
        <f t="shared" si="3"/>
        <v>5960</v>
      </c>
      <c r="O49" s="38">
        <f t="shared" si="7"/>
        <v>4.9231162129600374E-4</v>
      </c>
    </row>
    <row r="50" spans="1:15" ht="15.95" customHeight="1" x14ac:dyDescent="0.2">
      <c r="A50" s="41" t="s">
        <v>95</v>
      </c>
      <c r="B50" s="100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295.35+1954+176.7+106.7+241.8</f>
        <v>2774.5499999999997</v>
      </c>
      <c r="N50" s="28">
        <f t="shared" si="3"/>
        <v>11475.45</v>
      </c>
      <c r="O50" s="38">
        <f t="shared" si="7"/>
        <v>6.6958000434648381E-4</v>
      </c>
    </row>
    <row r="51" spans="1:15" ht="15.95" customHeight="1" x14ac:dyDescent="0.2">
      <c r="A51" s="41" t="s">
        <v>96</v>
      </c>
      <c r="B51" s="100" t="s">
        <v>161</v>
      </c>
      <c r="C51" s="28">
        <v>673088.47</v>
      </c>
      <c r="D51" s="28"/>
      <c r="E51" s="28"/>
      <c r="F51" s="44">
        <v>300000</v>
      </c>
      <c r="G51" s="44"/>
      <c r="H51" s="28">
        <v>1130902.48</v>
      </c>
      <c r="I51" s="28"/>
      <c r="J51" s="44"/>
      <c r="K51" s="44"/>
      <c r="L51" s="28">
        <f>C51+D51-E51+F51-G51+H51-I51+J51-K51</f>
        <v>2103990.9500000002</v>
      </c>
      <c r="M51" s="28">
        <f>52511.08+370815.32+121201.74+589744.16</f>
        <v>1134272.3</v>
      </c>
      <c r="N51" s="28">
        <f t="shared" si="3"/>
        <v>969718.65000000014</v>
      </c>
      <c r="O51" s="38">
        <f t="shared" si="7"/>
        <v>0.27373305637458195</v>
      </c>
    </row>
    <row r="52" spans="1:15" ht="15.95" customHeight="1" x14ac:dyDescent="0.2">
      <c r="A52" s="41" t="s">
        <v>97</v>
      </c>
      <c r="B52" s="100" t="s">
        <v>53</v>
      </c>
      <c r="C52" s="28">
        <v>563742.69999999995</v>
      </c>
      <c r="D52" s="28"/>
      <c r="E52" s="28"/>
      <c r="F52" s="44"/>
      <c r="G52" s="44">
        <v>300000</v>
      </c>
      <c r="H52" s="28">
        <v>293382.87</v>
      </c>
      <c r="I52" s="28"/>
      <c r="J52" s="44"/>
      <c r="K52" s="44"/>
      <c r="L52" s="28">
        <f>C52+D52-E52+F52-G52+H52+J52-K52</f>
        <v>557125.56999999995</v>
      </c>
      <c r="M52" s="28">
        <f>3740.5+87744.2+10441.24+13388.35+26181.25</f>
        <v>141495.54</v>
      </c>
      <c r="N52" s="28">
        <f t="shared" si="3"/>
        <v>415630.02999999991</v>
      </c>
      <c r="O52" s="38">
        <f t="shared" si="7"/>
        <v>3.4147009168408606E-2</v>
      </c>
    </row>
    <row r="53" spans="1:15" ht="15.95" customHeight="1" x14ac:dyDescent="0.2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/>
      <c r="L53" s="28">
        <f>C53+D53-E53+F53-G53+H53+J53-K53</f>
        <v>1334049.7</v>
      </c>
      <c r="M53" s="28">
        <f>48849.92+109313.99+1000+269983.68+113656.54</f>
        <v>542804.13</v>
      </c>
      <c r="N53" s="28">
        <f t="shared" si="3"/>
        <v>791245.57</v>
      </c>
      <c r="O53" s="38">
        <f t="shared" si="7"/>
        <v>0.13099450063062099</v>
      </c>
    </row>
    <row r="54" spans="1:15" ht="15.95" customHeight="1" x14ac:dyDescent="0.2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>
        <v>84616</v>
      </c>
      <c r="N54" s="28">
        <f t="shared" si="3"/>
        <v>140384</v>
      </c>
      <c r="O54" s="38">
        <f t="shared" si="7"/>
        <v>2.0420313797834634E-2</v>
      </c>
    </row>
    <row r="55" spans="1:15" ht="15.95" customHeight="1" x14ac:dyDescent="0.2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/>
      <c r="K57" s="44"/>
      <c r="L57" s="28">
        <f t="shared" si="6"/>
        <v>4400</v>
      </c>
      <c r="M57" s="28">
        <v>7600</v>
      </c>
      <c r="N57" s="28">
        <f t="shared" si="3"/>
        <v>-3200</v>
      </c>
      <c r="O57" s="38">
        <f t="shared" ref="O57:O62" si="8">M57/$M$142</f>
        <v>1.8341021185537395E-3</v>
      </c>
    </row>
    <row r="58" spans="1:15" ht="15.95" customHeight="1" x14ac:dyDescent="0.2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 t="shared" si="8"/>
        <v>0</v>
      </c>
    </row>
    <row r="59" spans="1:15" ht="15.9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 t="shared" si="8"/>
        <v>0</v>
      </c>
    </row>
    <row r="60" spans="1:15" ht="30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>
        <v>448</v>
      </c>
      <c r="N60" s="28">
        <f t="shared" si="3"/>
        <v>6552</v>
      </c>
      <c r="O60" s="38">
        <f t="shared" si="8"/>
        <v>1.0811549330422043E-4</v>
      </c>
    </row>
    <row r="61" spans="1:15" ht="31.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 t="shared" si="8"/>
        <v>1.0859815175647141E-4</v>
      </c>
    </row>
    <row r="62" spans="1:15" ht="15.95" hidden="1" customHeight="1" x14ac:dyDescent="0.2">
      <c r="A62" s="41" t="s">
        <v>106</v>
      </c>
      <c r="B62" s="100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0</v>
      </c>
      <c r="M62" s="28"/>
      <c r="N62" s="28">
        <f t="shared" si="3"/>
        <v>0</v>
      </c>
      <c r="O62" s="38">
        <f t="shared" si="8"/>
        <v>0</v>
      </c>
    </row>
    <row r="63" spans="1:15" ht="15.95" customHeight="1" x14ac:dyDescent="0.2">
      <c r="A63" s="41">
        <v>169</v>
      </c>
      <c r="B63" s="100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6"/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>
        <v>171</v>
      </c>
      <c r="B64" s="100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28">
        <f>C64+D64-E64+F64-G64+H64+J64-I64-K64</f>
        <v>15000</v>
      </c>
      <c r="M64" s="28"/>
      <c r="N64" s="28">
        <f t="shared" si="3"/>
        <v>15000</v>
      </c>
      <c r="O64" s="38"/>
    </row>
    <row r="65" spans="1:15" ht="15.95" customHeight="1" x14ac:dyDescent="0.2">
      <c r="A65" s="41" t="s">
        <v>107</v>
      </c>
      <c r="B65" s="100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si="6"/>
        <v>30750</v>
      </c>
      <c r="M65" s="28"/>
      <c r="N65" s="28">
        <f t="shared" si="3"/>
        <v>30750</v>
      </c>
      <c r="O65" s="38">
        <f>M65/$M$142</f>
        <v>0</v>
      </c>
    </row>
    <row r="66" spans="1:15" ht="31.5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28">
        <f t="shared" si="6"/>
        <v>20000</v>
      </c>
      <c r="M66" s="28">
        <v>4000</v>
      </c>
      <c r="N66" s="28">
        <f t="shared" si="3"/>
        <v>16000</v>
      </c>
      <c r="O66" s="38"/>
    </row>
    <row r="67" spans="1:15" ht="15.95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260706.83</v>
      </c>
      <c r="M67" s="28"/>
      <c r="N67" s="28">
        <f t="shared" si="3"/>
        <v>260706.83</v>
      </c>
      <c r="O67" s="38">
        <f t="shared" ref="O67:O81" si="9">M67/$M$142</f>
        <v>0</v>
      </c>
    </row>
    <row r="68" spans="1:15" ht="15.95" customHeight="1" x14ac:dyDescent="0.2">
      <c r="A68" s="41">
        <v>182</v>
      </c>
      <c r="B68" s="100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6"/>
        <v>10000</v>
      </c>
      <c r="M68" s="28"/>
      <c r="N68" s="28">
        <f t="shared" si="3"/>
        <v>10000</v>
      </c>
      <c r="O68" s="38">
        <f t="shared" si="9"/>
        <v>0</v>
      </c>
    </row>
    <row r="69" spans="1:15" ht="15.95" customHeight="1" x14ac:dyDescent="0.2">
      <c r="A69" s="41" t="s">
        <v>109</v>
      </c>
      <c r="B69" s="100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28">
        <f t="shared" si="6"/>
        <v>60000</v>
      </c>
      <c r="M69" s="28">
        <v>1018.44</v>
      </c>
      <c r="N69" s="28">
        <f t="shared" si="3"/>
        <v>58981.56</v>
      </c>
      <c r="O69" s="38">
        <f t="shared" si="9"/>
        <v>2.4577933705524613E-4</v>
      </c>
    </row>
    <row r="70" spans="1:15" ht="30.75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28">
        <f t="shared" si="6"/>
        <v>144000</v>
      </c>
      <c r="M70" s="28">
        <f>4500+4500+4500+4500+4500</f>
        <v>22500</v>
      </c>
      <c r="N70" s="28">
        <f t="shared" si="3"/>
        <v>121500</v>
      </c>
      <c r="O70" s="38">
        <f t="shared" si="9"/>
        <v>5.4299075878235705E-3</v>
      </c>
    </row>
    <row r="71" spans="1:15" ht="15.95" customHeight="1" x14ac:dyDescent="0.2">
      <c r="A71" s="41" t="s">
        <v>111</v>
      </c>
      <c r="B71" s="100" t="s">
        <v>57</v>
      </c>
      <c r="C71" s="28">
        <v>7500</v>
      </c>
      <c r="D71" s="28"/>
      <c r="E71" s="28"/>
      <c r="F71" s="44"/>
      <c r="G71" s="44"/>
      <c r="H71" s="28"/>
      <c r="I71" s="28"/>
      <c r="J71" s="44"/>
      <c r="K71" s="44"/>
      <c r="L71" s="28">
        <f t="shared" si="6"/>
        <v>7500</v>
      </c>
      <c r="M71" s="28">
        <f>235.2+352.8+117.6+117.6</f>
        <v>823.2</v>
      </c>
      <c r="N71" s="28">
        <f t="shared" si="3"/>
        <v>6676.8</v>
      </c>
      <c r="O71" s="38">
        <f t="shared" si="9"/>
        <v>1.9866221894650505E-4</v>
      </c>
    </row>
    <row r="72" spans="1:15" ht="30.75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6"/>
        <v>24540</v>
      </c>
      <c r="M72" s="28"/>
      <c r="N72" s="28">
        <f t="shared" si="3"/>
        <v>24540</v>
      </c>
      <c r="O72" s="38">
        <f t="shared" si="9"/>
        <v>0</v>
      </c>
    </row>
    <row r="73" spans="1:15" ht="15.95" customHeight="1" x14ac:dyDescent="0.2">
      <c r="A73" s="41" t="s">
        <v>113</v>
      </c>
      <c r="B73" s="100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28">
        <f>C73+D73-E73+F73-G73+H73-I73+J73-K73</f>
        <v>963300</v>
      </c>
      <c r="M73" s="28">
        <f>93776.76+70259.49+71194.06+140236.56+23297.97</f>
        <v>398764.83999999997</v>
      </c>
      <c r="N73" s="28">
        <f t="shared" si="3"/>
        <v>564535.16</v>
      </c>
      <c r="O73" s="38">
        <f t="shared" si="9"/>
        <v>9.6233610243255635E-2</v>
      </c>
    </row>
    <row r="74" spans="1:15" ht="32.25" customHeight="1" x14ac:dyDescent="0.2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 t="shared" si="6"/>
        <v>8000</v>
      </c>
      <c r="M74" s="28"/>
      <c r="N74" s="28">
        <f t="shared" si="3"/>
        <v>8000</v>
      </c>
      <c r="O74" s="38">
        <f t="shared" si="9"/>
        <v>0</v>
      </c>
    </row>
    <row r="75" spans="1:15" ht="15.95" customHeight="1" x14ac:dyDescent="0.2">
      <c r="A75" s="41" t="s">
        <v>115</v>
      </c>
      <c r="B75" s="100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28">
        <f>C75+D75-E75+F75-G75+H75+J75-I75-K75</f>
        <v>130000</v>
      </c>
      <c r="M75" s="28"/>
      <c r="N75" s="28">
        <f t="shared" si="3"/>
        <v>130000</v>
      </c>
      <c r="O75" s="38">
        <f t="shared" si="9"/>
        <v>0</v>
      </c>
    </row>
    <row r="76" spans="1:15" ht="15.95" customHeight="1" x14ac:dyDescent="0.2">
      <c r="A76" s="41" t="s">
        <v>116</v>
      </c>
      <c r="B76" s="100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8250</v>
      </c>
      <c r="M76" s="28">
        <v>911.4</v>
      </c>
      <c r="N76" s="28">
        <f t="shared" si="3"/>
        <v>7338.6</v>
      </c>
      <c r="O76" s="38">
        <f t="shared" si="9"/>
        <v>2.1994745669077343E-4</v>
      </c>
    </row>
    <row r="77" spans="1:15" ht="15.95" customHeight="1" x14ac:dyDescent="0.2">
      <c r="A77" s="41" t="s">
        <v>117</v>
      </c>
      <c r="B77" s="100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2500</v>
      </c>
      <c r="M77" s="28">
        <f>50+56.72+130.7+87.35+50.36</f>
        <v>375.13</v>
      </c>
      <c r="N77" s="28">
        <f t="shared" si="3"/>
        <v>2124.87</v>
      </c>
      <c r="O77" s="38">
        <f t="shared" si="9"/>
        <v>9.0529832596455823E-5</v>
      </c>
    </row>
    <row r="78" spans="1:15" ht="15.95" customHeight="1" x14ac:dyDescent="0.2">
      <c r="A78" s="41" t="s">
        <v>118</v>
      </c>
      <c r="B78" s="100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 t="shared" si="6"/>
        <v>125000</v>
      </c>
      <c r="M78" s="28">
        <f>10+30+10.2+220</f>
        <v>270.2</v>
      </c>
      <c r="N78" s="28">
        <f t="shared" si="3"/>
        <v>124729.8</v>
      </c>
      <c r="O78" s="38">
        <f t="shared" si="9"/>
        <v>6.5207156899107938E-5</v>
      </c>
    </row>
    <row r="79" spans="1:15" ht="15.95" customHeight="1" x14ac:dyDescent="0.2">
      <c r="A79" s="41" t="s">
        <v>119</v>
      </c>
      <c r="B79" s="100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 t="shared" ref="L79:L80" si="10">C79+D79-E79+F79-G79+H79+J79-I79-K79</f>
        <v>50000</v>
      </c>
      <c r="M79" s="28"/>
      <c r="N79" s="28">
        <f t="shared" si="3"/>
        <v>50000</v>
      </c>
      <c r="O79" s="38">
        <f t="shared" si="9"/>
        <v>0</v>
      </c>
    </row>
    <row r="80" spans="1:15" ht="15.95" customHeight="1" x14ac:dyDescent="0.2">
      <c r="A80" s="41" t="s">
        <v>178</v>
      </c>
      <c r="B80" s="100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 t="shared" si="10"/>
        <v>46100</v>
      </c>
      <c r="M80" s="28"/>
      <c r="N80" s="28">
        <f t="shared" si="3"/>
        <v>46100</v>
      </c>
      <c r="O80" s="38">
        <f t="shared" si="9"/>
        <v>0</v>
      </c>
    </row>
    <row r="81" spans="1:15" ht="15.95" customHeight="1" x14ac:dyDescent="0.2">
      <c r="A81" s="41" t="s">
        <v>120</v>
      </c>
      <c r="B81" s="100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 t="shared" si="6"/>
        <v>51000</v>
      </c>
      <c r="M81" s="28">
        <f>440+44+2062.32</f>
        <v>2546.3200000000002</v>
      </c>
      <c r="N81" s="28">
        <f t="shared" si="3"/>
        <v>48453.68</v>
      </c>
      <c r="O81" s="38">
        <f t="shared" si="9"/>
        <v>6.1450143506786286E-4</v>
      </c>
    </row>
    <row r="82" spans="1:15" ht="15.95" customHeight="1" x14ac:dyDescent="0.2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100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108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100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121" si="11">C85+D85-E85+F85-G85+H85+J85-K85</f>
        <v>146784.1</v>
      </c>
      <c r="M85" s="28">
        <f>2380.7+754.5+12765.2+1133.1+2185.25</f>
        <v>19218.75</v>
      </c>
      <c r="N85" s="28">
        <f t="shared" si="3"/>
        <v>127565.35</v>
      </c>
      <c r="O85" s="38">
        <f t="shared" ref="O85:O121" si="12">M85/$M$142</f>
        <v>4.6380460645992997E-3</v>
      </c>
    </row>
    <row r="86" spans="1:15" ht="15.95" hidden="1" customHeight="1" x14ac:dyDescent="0.2">
      <c r="A86" s="41">
        <v>214</v>
      </c>
      <c r="B86" s="100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1"/>
        <v>0</v>
      </c>
      <c r="M86" s="28"/>
      <c r="N86" s="28">
        <f t="shared" si="3"/>
        <v>0</v>
      </c>
      <c r="O86" s="38">
        <f t="shared" si="12"/>
        <v>0</v>
      </c>
    </row>
    <row r="87" spans="1:15" ht="15.95" customHeight="1" x14ac:dyDescent="0.2">
      <c r="A87" s="41">
        <v>223</v>
      </c>
      <c r="B87" s="100" t="s">
        <v>192</v>
      </c>
      <c r="C87" s="28">
        <v>2000</v>
      </c>
      <c r="D87" s="28"/>
      <c r="E87" s="28"/>
      <c r="F87" s="44"/>
      <c r="G87" s="44"/>
      <c r="H87" s="28">
        <v>10000</v>
      </c>
      <c r="I87" s="28"/>
      <c r="J87" s="44"/>
      <c r="K87" s="44"/>
      <c r="L87" s="28">
        <f t="shared" si="11"/>
        <v>12000</v>
      </c>
      <c r="M87" s="28"/>
      <c r="N87" s="28">
        <f t="shared" si="3"/>
        <v>12000</v>
      </c>
      <c r="O87" s="38">
        <f t="shared" si="12"/>
        <v>0</v>
      </c>
    </row>
    <row r="88" spans="1:15" ht="15.95" hidden="1" customHeight="1" x14ac:dyDescent="0.2">
      <c r="A88" s="41">
        <v>229</v>
      </c>
      <c r="B88" s="100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1"/>
        <v>0</v>
      </c>
      <c r="M88" s="28"/>
      <c r="N88" s="28">
        <f t="shared" si="3"/>
        <v>0</v>
      </c>
      <c r="O88" s="38">
        <f t="shared" si="12"/>
        <v>0</v>
      </c>
    </row>
    <row r="89" spans="1:15" ht="15.95" customHeight="1" x14ac:dyDescent="0.2">
      <c r="A89" s="41" t="s">
        <v>122</v>
      </c>
      <c r="B89" s="100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1"/>
        <v>5000</v>
      </c>
      <c r="M89" s="28">
        <f>94.99+48</f>
        <v>142.99</v>
      </c>
      <c r="N89" s="28">
        <f t="shared" si="3"/>
        <v>4857.01</v>
      </c>
      <c r="O89" s="38">
        <f t="shared" si="12"/>
        <v>3.4507666043684107E-5</v>
      </c>
    </row>
    <row r="90" spans="1:15" ht="15.95" customHeight="1" x14ac:dyDescent="0.2">
      <c r="A90" s="41" t="s">
        <v>123</v>
      </c>
      <c r="B90" s="100" t="s">
        <v>63</v>
      </c>
      <c r="C90" s="28">
        <v>33800</v>
      </c>
      <c r="D90" s="28"/>
      <c r="E90" s="28"/>
      <c r="F90" s="44"/>
      <c r="G90" s="44"/>
      <c r="H90" s="28">
        <v>20017.62</v>
      </c>
      <c r="I90" s="28"/>
      <c r="J90" s="44"/>
      <c r="K90" s="44"/>
      <c r="L90" s="28">
        <f t="shared" si="11"/>
        <v>53817.619999999995</v>
      </c>
      <c r="M90" s="28">
        <v>21140</v>
      </c>
      <c r="N90" s="28">
        <f t="shared" si="3"/>
        <v>32677.619999999995</v>
      </c>
      <c r="O90" s="38">
        <f t="shared" si="12"/>
        <v>5.1016998402929016E-3</v>
      </c>
    </row>
    <row r="91" spans="1:15" ht="15.95" customHeight="1" x14ac:dyDescent="0.2">
      <c r="A91" s="41" t="s">
        <v>124</v>
      </c>
      <c r="B91" s="100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 t="shared" ref="L91" si="13">C91+D91-E91+F91-G91+H91+J91-I91-K91</f>
        <v>5250</v>
      </c>
      <c r="M91" s="28">
        <f>439+446.2+360+360+360</f>
        <v>1965.2</v>
      </c>
      <c r="N91" s="28">
        <f t="shared" si="3"/>
        <v>3284.8</v>
      </c>
      <c r="O91" s="38">
        <f t="shared" si="12"/>
        <v>4.7426019518181695E-4</v>
      </c>
    </row>
    <row r="92" spans="1:15" ht="15.95" customHeight="1" x14ac:dyDescent="0.2">
      <c r="A92" s="41" t="s">
        <v>125</v>
      </c>
      <c r="B92" s="100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 t="shared" si="11"/>
        <v>10500</v>
      </c>
      <c r="M92" s="28">
        <f>970+65.15+174.99+1122.19+587.15</f>
        <v>2919.48</v>
      </c>
      <c r="N92" s="28">
        <f t="shared" si="3"/>
        <v>7580.52</v>
      </c>
      <c r="O92" s="38">
        <f t="shared" si="12"/>
        <v>7.0455584908885147E-4</v>
      </c>
    </row>
    <row r="93" spans="1:15" ht="15.95" customHeight="1" x14ac:dyDescent="0.2">
      <c r="A93" s="41" t="s">
        <v>126</v>
      </c>
      <c r="B93" s="100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 t="shared" ref="L93" si="14">C93+D93-E93+F93-G93+H93+J93-I93-K93</f>
        <v>3050</v>
      </c>
      <c r="M93" s="28">
        <f>394.5+294.3+387.3</f>
        <v>1076.0999999999999</v>
      </c>
      <c r="N93" s="28">
        <f t="shared" si="3"/>
        <v>1973.9</v>
      </c>
      <c r="O93" s="38">
        <f t="shared" si="12"/>
        <v>2.5969438023364197E-4</v>
      </c>
    </row>
    <row r="94" spans="1:15" ht="15.95" customHeight="1" x14ac:dyDescent="0.2">
      <c r="A94" s="41" t="s">
        <v>127</v>
      </c>
      <c r="B94" s="100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si="11"/>
        <v>875</v>
      </c>
      <c r="M94" s="28"/>
      <c r="N94" s="28">
        <f t="shared" si="3"/>
        <v>875</v>
      </c>
      <c r="O94" s="38">
        <f t="shared" si="12"/>
        <v>0</v>
      </c>
    </row>
    <row r="95" spans="1:15" ht="15.95" customHeight="1" x14ac:dyDescent="0.2">
      <c r="A95" s="41" t="s">
        <v>128</v>
      </c>
      <c r="B95" s="100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1"/>
        <v>5500</v>
      </c>
      <c r="M95" s="28"/>
      <c r="N95" s="28">
        <f t="shared" si="3"/>
        <v>5500</v>
      </c>
      <c r="O95" s="38">
        <f t="shared" si="12"/>
        <v>0</v>
      </c>
    </row>
    <row r="96" spans="1:15" ht="15.95" customHeight="1" x14ac:dyDescent="0.2">
      <c r="A96" s="41" t="s">
        <v>129</v>
      </c>
      <c r="B96" s="100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1"/>
        <v>2700</v>
      </c>
      <c r="M96" s="28">
        <f>527.45+48+320</f>
        <v>895.45</v>
      </c>
      <c r="N96" s="28">
        <f t="shared" si="3"/>
        <v>1804.55</v>
      </c>
      <c r="O96" s="38">
        <f t="shared" si="12"/>
        <v>2.1609825553407184E-4</v>
      </c>
    </row>
    <row r="97" spans="1:15" ht="15.95" customHeight="1" x14ac:dyDescent="0.2">
      <c r="A97" s="41" t="s">
        <v>196</v>
      </c>
      <c r="B97" s="100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1"/>
        <v>2800</v>
      </c>
      <c r="M97" s="28">
        <f>89+40+158</f>
        <v>287</v>
      </c>
      <c r="N97" s="28">
        <f t="shared" si="3"/>
        <v>2513</v>
      </c>
      <c r="O97" s="38">
        <f t="shared" si="12"/>
        <v>6.9261487898016218E-5</v>
      </c>
    </row>
    <row r="98" spans="1:15" ht="15.95" customHeight="1" x14ac:dyDescent="0.2">
      <c r="A98" s="41" t="s">
        <v>130</v>
      </c>
      <c r="B98" s="100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1"/>
        <v>8500</v>
      </c>
      <c r="M98" s="28">
        <f>687.48+165+140+326.74+957.98</f>
        <v>2277.1999999999998</v>
      </c>
      <c r="N98" s="28">
        <f t="shared" si="3"/>
        <v>6222.8</v>
      </c>
      <c r="O98" s="38">
        <f t="shared" si="12"/>
        <v>5.4955491373297042E-4</v>
      </c>
    </row>
    <row r="99" spans="1:15" ht="15.95" customHeight="1" x14ac:dyDescent="0.2">
      <c r="A99" s="41" t="s">
        <v>131</v>
      </c>
      <c r="B99" s="100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1"/>
        <v>6000</v>
      </c>
      <c r="M99" s="28">
        <v>342.5</v>
      </c>
      <c r="N99" s="28">
        <f t="shared" si="3"/>
        <v>5657.5</v>
      </c>
      <c r="O99" s="38">
        <f t="shared" si="12"/>
        <v>8.2655259947981015E-5</v>
      </c>
    </row>
    <row r="100" spans="1:15" ht="15.95" customHeight="1" x14ac:dyDescent="0.2">
      <c r="A100" s="41" t="s">
        <v>132</v>
      </c>
      <c r="B100" s="100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/>
      <c r="K100" s="44"/>
      <c r="L100" s="28">
        <f t="shared" si="11"/>
        <v>17500</v>
      </c>
      <c r="M100" s="28">
        <f>862.5+1427.35</f>
        <v>2289.85</v>
      </c>
      <c r="N100" s="28">
        <f t="shared" si="3"/>
        <v>15210.15</v>
      </c>
      <c r="O100" s="38">
        <f t="shared" si="12"/>
        <v>5.5260772844345789E-4</v>
      </c>
    </row>
    <row r="101" spans="1:15" ht="15.95" customHeight="1" x14ac:dyDescent="0.2">
      <c r="A101" s="41" t="s">
        <v>133</v>
      </c>
      <c r="B101" s="100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1"/>
        <v>3000</v>
      </c>
      <c r="M101" s="28">
        <f>691.35+274.07+29.5+1161.24</f>
        <v>2156.16</v>
      </c>
      <c r="N101" s="28">
        <f t="shared" si="3"/>
        <v>843.84000000000015</v>
      </c>
      <c r="O101" s="38">
        <f t="shared" si="12"/>
        <v>5.2034442420274081E-4</v>
      </c>
    </row>
    <row r="102" spans="1:15" ht="15.95" customHeight="1" x14ac:dyDescent="0.2">
      <c r="A102" s="41" t="s">
        <v>134</v>
      </c>
      <c r="B102" s="100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1"/>
        <v>1500</v>
      </c>
      <c r="M102" s="28"/>
      <c r="N102" s="28">
        <f t="shared" ref="N102:N141" si="15">L102-M102</f>
        <v>1500</v>
      </c>
      <c r="O102" s="38">
        <f t="shared" si="12"/>
        <v>0</v>
      </c>
    </row>
    <row r="103" spans="1:15" ht="15.95" customHeight="1" x14ac:dyDescent="0.2">
      <c r="A103" s="41" t="s">
        <v>135</v>
      </c>
      <c r="B103" s="100" t="s">
        <v>70</v>
      </c>
      <c r="C103" s="28">
        <v>181653.08</v>
      </c>
      <c r="D103" s="28"/>
      <c r="E103" s="28"/>
      <c r="F103" s="44"/>
      <c r="G103" s="44"/>
      <c r="H103" s="28">
        <v>100000</v>
      </c>
      <c r="I103" s="28"/>
      <c r="J103" s="44"/>
      <c r="K103" s="44"/>
      <c r="L103" s="28">
        <f t="shared" si="11"/>
        <v>281653.07999999996</v>
      </c>
      <c r="M103" s="28"/>
      <c r="N103" s="28">
        <f t="shared" si="15"/>
        <v>281653.07999999996</v>
      </c>
      <c r="O103" s="38">
        <f t="shared" si="12"/>
        <v>0</v>
      </c>
    </row>
    <row r="104" spans="1:15" ht="15.95" hidden="1" customHeight="1" x14ac:dyDescent="0.2">
      <c r="A104" s="41">
        <v>272</v>
      </c>
      <c r="B104" s="100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1"/>
        <v>0</v>
      </c>
      <c r="M104" s="28"/>
      <c r="N104" s="28">
        <f t="shared" si="15"/>
        <v>0</v>
      </c>
      <c r="O104" s="38">
        <f t="shared" si="12"/>
        <v>0</v>
      </c>
    </row>
    <row r="105" spans="1:15" ht="15.95" hidden="1" customHeight="1" x14ac:dyDescent="0.2">
      <c r="A105" s="41" t="s">
        <v>136</v>
      </c>
      <c r="B105" s="100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1"/>
        <v>0</v>
      </c>
      <c r="M105" s="28"/>
      <c r="N105" s="28">
        <f t="shared" si="15"/>
        <v>0</v>
      </c>
      <c r="O105" s="38">
        <f t="shared" si="12"/>
        <v>0</v>
      </c>
    </row>
    <row r="106" spans="1:15" ht="15.95" customHeight="1" x14ac:dyDescent="0.2">
      <c r="A106" s="41">
        <v>274</v>
      </c>
      <c r="B106" s="100" t="s">
        <v>71</v>
      </c>
      <c r="C106" s="28">
        <v>1500</v>
      </c>
      <c r="D106" s="28"/>
      <c r="E106" s="28"/>
      <c r="F106" s="44"/>
      <c r="G106" s="44"/>
      <c r="H106" s="28">
        <v>10000</v>
      </c>
      <c r="I106" s="28"/>
      <c r="J106" s="44"/>
      <c r="K106" s="44"/>
      <c r="L106" s="28">
        <f t="shared" si="11"/>
        <v>11500</v>
      </c>
      <c r="M106" s="28"/>
      <c r="N106" s="28">
        <f t="shared" si="15"/>
        <v>11500</v>
      </c>
      <c r="O106" s="38">
        <f t="shared" si="12"/>
        <v>0</v>
      </c>
    </row>
    <row r="107" spans="1:15" ht="15.95" hidden="1" customHeight="1" x14ac:dyDescent="0.2">
      <c r="A107" s="41">
        <v>275</v>
      </c>
      <c r="B107" s="100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1"/>
        <v>0</v>
      </c>
      <c r="M107" s="28"/>
      <c r="N107" s="28">
        <f t="shared" si="15"/>
        <v>0</v>
      </c>
      <c r="O107" s="38">
        <f t="shared" si="12"/>
        <v>0</v>
      </c>
    </row>
    <row r="108" spans="1:15" ht="15.95" customHeight="1" x14ac:dyDescent="0.2">
      <c r="A108" s="41">
        <v>279</v>
      </c>
      <c r="B108" s="100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1"/>
        <v>750</v>
      </c>
      <c r="M108" s="28"/>
      <c r="N108" s="28">
        <f t="shared" si="15"/>
        <v>750</v>
      </c>
      <c r="O108" s="38">
        <f t="shared" si="12"/>
        <v>0</v>
      </c>
    </row>
    <row r="109" spans="1:15" ht="15.95" hidden="1" customHeight="1" x14ac:dyDescent="0.2">
      <c r="A109" s="41">
        <v>281</v>
      </c>
      <c r="B109" s="100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1"/>
        <v>0</v>
      </c>
      <c r="M109" s="28"/>
      <c r="N109" s="28">
        <f t="shared" si="15"/>
        <v>0</v>
      </c>
      <c r="O109" s="38">
        <f t="shared" si="12"/>
        <v>0</v>
      </c>
    </row>
    <row r="110" spans="1:15" ht="15.95" customHeight="1" x14ac:dyDescent="0.2">
      <c r="A110" s="41" t="s">
        <v>137</v>
      </c>
      <c r="B110" s="100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1"/>
        <v>4800</v>
      </c>
      <c r="M110" s="28">
        <f>31.6+60.84+123.51</f>
        <v>215.95</v>
      </c>
      <c r="N110" s="28">
        <f t="shared" si="15"/>
        <v>4584.05</v>
      </c>
      <c r="O110" s="38">
        <f t="shared" si="12"/>
        <v>5.2115046381800003E-5</v>
      </c>
    </row>
    <row r="111" spans="1:15" ht="15.95" customHeight="1" x14ac:dyDescent="0.2">
      <c r="A111" s="41" t="s">
        <v>138</v>
      </c>
      <c r="B111" s="100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1"/>
        <v>28800</v>
      </c>
      <c r="M111" s="28"/>
      <c r="N111" s="28">
        <f t="shared" si="15"/>
        <v>28800</v>
      </c>
      <c r="O111" s="38">
        <f t="shared" si="12"/>
        <v>0</v>
      </c>
    </row>
    <row r="112" spans="1:15" ht="15.95" customHeight="1" x14ac:dyDescent="0.2">
      <c r="A112" s="41" t="s">
        <v>139</v>
      </c>
      <c r="B112" s="100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>
        <v>1088331</v>
      </c>
      <c r="N112" s="28">
        <f t="shared" si="15"/>
        <v>211669</v>
      </c>
      <c r="O112" s="38">
        <f t="shared" si="12"/>
        <v>0.26264607799838285</v>
      </c>
    </row>
    <row r="113" spans="1:15" ht="15.95" customHeight="1" x14ac:dyDescent="0.2">
      <c r="A113" s="41">
        <v>286</v>
      </c>
      <c r="B113" s="100" t="s">
        <v>207</v>
      </c>
      <c r="C113" s="28">
        <v>1500</v>
      </c>
      <c r="D113" s="28"/>
      <c r="E113" s="28"/>
      <c r="F113" s="44"/>
      <c r="G113" s="44"/>
      <c r="H113" s="28">
        <v>3000</v>
      </c>
      <c r="I113" s="28"/>
      <c r="J113" s="44"/>
      <c r="K113" s="44"/>
      <c r="L113" s="28">
        <f t="shared" si="11"/>
        <v>4500</v>
      </c>
      <c r="M113" s="28">
        <v>118</v>
      </c>
      <c r="N113" s="28">
        <f t="shared" si="15"/>
        <v>4382</v>
      </c>
      <c r="O113" s="38">
        <f t="shared" si="12"/>
        <v>2.8476848682808061E-5</v>
      </c>
    </row>
    <row r="114" spans="1:15" ht="15.95" hidden="1" customHeight="1" x14ac:dyDescent="0.2">
      <c r="A114" s="41">
        <v>289</v>
      </c>
      <c r="B114" s="100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1"/>
        <v>0</v>
      </c>
      <c r="M114" s="28"/>
      <c r="N114" s="28">
        <f t="shared" si="15"/>
        <v>0</v>
      </c>
      <c r="O114" s="38">
        <f t="shared" si="12"/>
        <v>0</v>
      </c>
    </row>
    <row r="115" spans="1:15" ht="15.95" customHeight="1" x14ac:dyDescent="0.2">
      <c r="A115" s="41" t="s">
        <v>140</v>
      </c>
      <c r="B115" s="100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1"/>
        <v>6600</v>
      </c>
      <c r="M115" s="28">
        <f>170.3+371+88.55+154.7+1286.78</f>
        <v>2071.33</v>
      </c>
      <c r="N115" s="28">
        <f t="shared" si="15"/>
        <v>4528.67</v>
      </c>
      <c r="O115" s="38">
        <f t="shared" si="12"/>
        <v>4.9987246595051542E-4</v>
      </c>
    </row>
    <row r="116" spans="1:15" ht="30.75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1"/>
        <v>4000</v>
      </c>
      <c r="M116" s="28">
        <f>274.1+117.25+110.65+75.98+241.2</f>
        <v>819.18000000000006</v>
      </c>
      <c r="N116" s="28">
        <f t="shared" si="15"/>
        <v>3180.8199999999997</v>
      </c>
      <c r="O116" s="38">
        <f t="shared" si="12"/>
        <v>1.9769207545748059E-4</v>
      </c>
    </row>
    <row r="117" spans="1:15" ht="15.95" customHeight="1" x14ac:dyDescent="0.2">
      <c r="A117" s="41" t="s">
        <v>142</v>
      </c>
      <c r="B117" s="100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1"/>
        <v>25251.9</v>
      </c>
      <c r="M117" s="28">
        <f>4500+5193.57</f>
        <v>9693.57</v>
      </c>
      <c r="N117" s="28">
        <f t="shared" si="15"/>
        <v>15558.330000000002</v>
      </c>
      <c r="O117" s="38">
        <f t="shared" si="12"/>
        <v>2.3393417464932856E-3</v>
      </c>
    </row>
    <row r="118" spans="1:15" ht="15.95" customHeight="1" x14ac:dyDescent="0.2">
      <c r="A118" s="41" t="s">
        <v>143</v>
      </c>
      <c r="B118" s="100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1"/>
        <v>2000</v>
      </c>
      <c r="M118" s="28"/>
      <c r="N118" s="28">
        <f t="shared" si="15"/>
        <v>2000</v>
      </c>
      <c r="O118" s="38">
        <f t="shared" si="12"/>
        <v>0</v>
      </c>
    </row>
    <row r="119" spans="1:15" ht="52.5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>
        <v>20500</v>
      </c>
      <c r="I119" s="28"/>
      <c r="J119" s="44"/>
      <c r="K119" s="44"/>
      <c r="L119" s="28">
        <f t="shared" si="11"/>
        <v>30000</v>
      </c>
      <c r="M119" s="28">
        <v>194</v>
      </c>
      <c r="N119" s="28">
        <f t="shared" si="15"/>
        <v>29806</v>
      </c>
      <c r="O119" s="38">
        <f t="shared" si="12"/>
        <v>4.6817869868345455E-5</v>
      </c>
    </row>
    <row r="120" spans="1:15" ht="15.95" customHeight="1" x14ac:dyDescent="0.2">
      <c r="A120" s="41" t="s">
        <v>145</v>
      </c>
      <c r="B120" s="100" t="s">
        <v>77</v>
      </c>
      <c r="C120" s="28">
        <v>76000</v>
      </c>
      <c r="D120" s="28"/>
      <c r="E120" s="28"/>
      <c r="F120" s="44"/>
      <c r="G120" s="44"/>
      <c r="H120" s="28">
        <v>75000</v>
      </c>
      <c r="I120" s="28"/>
      <c r="J120" s="44"/>
      <c r="K120" s="44"/>
      <c r="L120" s="28">
        <f t="shared" si="11"/>
        <v>151000</v>
      </c>
      <c r="M120" s="28"/>
      <c r="N120" s="28">
        <f t="shared" si="15"/>
        <v>151000</v>
      </c>
      <c r="O120" s="38">
        <f t="shared" si="12"/>
        <v>0</v>
      </c>
    </row>
    <row r="121" spans="1:15" ht="15.95" customHeight="1" x14ac:dyDescent="0.2">
      <c r="A121" s="41" t="s">
        <v>146</v>
      </c>
      <c r="B121" s="100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1"/>
        <v>9500</v>
      </c>
      <c r="M121" s="28">
        <f>256.15+122.2+625.35+1200</f>
        <v>2203.6999999999998</v>
      </c>
      <c r="N121" s="28">
        <f t="shared" si="15"/>
        <v>7296.3</v>
      </c>
      <c r="O121" s="38">
        <f t="shared" si="12"/>
        <v>5.318172156127467E-4</v>
      </c>
    </row>
    <row r="122" spans="1:15" ht="15.95" customHeight="1" x14ac:dyDescent="0.2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100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108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109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2" si="16">C126+D126-E126+F126-G126+H126+J126-K126</f>
        <v>10000</v>
      </c>
      <c r="M126" s="28"/>
      <c r="N126" s="28">
        <f t="shared" si="15"/>
        <v>10000</v>
      </c>
      <c r="O126" s="38">
        <f>M126/$M$142</f>
        <v>0</v>
      </c>
    </row>
    <row r="127" spans="1:15" ht="15.95" hidden="1" customHeight="1" x14ac:dyDescent="0.2">
      <c r="A127" s="42" t="s">
        <v>80</v>
      </c>
      <c r="B127" s="109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6"/>
        <v>0</v>
      </c>
      <c r="M127" s="28"/>
      <c r="N127" s="28">
        <f t="shared" si="15"/>
        <v>0</v>
      </c>
      <c r="O127" s="38">
        <f>M127/$M$142</f>
        <v>0</v>
      </c>
    </row>
    <row r="128" spans="1:15" ht="15.95" customHeight="1" x14ac:dyDescent="0.2">
      <c r="A128" s="42" t="s">
        <v>214</v>
      </c>
      <c r="B128" s="109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6"/>
        <v>304035</v>
      </c>
      <c r="M128" s="28"/>
      <c r="N128" s="28">
        <f t="shared" si="15"/>
        <v>304035</v>
      </c>
      <c r="O128" s="38">
        <f>M128/$M$142</f>
        <v>0</v>
      </c>
    </row>
    <row r="129" spans="1:15" ht="15.95" customHeight="1" x14ac:dyDescent="0.2">
      <c r="A129" s="42">
        <v>325</v>
      </c>
      <c r="B129" s="109" t="s">
        <v>268</v>
      </c>
      <c r="C129" s="44"/>
      <c r="D129" s="28"/>
      <c r="E129" s="28"/>
      <c r="F129" s="44"/>
      <c r="G129" s="44"/>
      <c r="H129" s="28">
        <v>25000</v>
      </c>
      <c r="I129" s="28"/>
      <c r="J129" s="44"/>
      <c r="K129" s="44"/>
      <c r="L129" s="28">
        <f t="shared" si="16"/>
        <v>25000</v>
      </c>
      <c r="M129" s="28">
        <v>11490</v>
      </c>
      <c r="N129" s="28">
        <f t="shared" si="15"/>
        <v>13510</v>
      </c>
      <c r="O129" s="38">
        <f>M129/$M$142</f>
        <v>2.7728728081819034E-3</v>
      </c>
    </row>
    <row r="130" spans="1:15" ht="15.95" customHeight="1" x14ac:dyDescent="0.2">
      <c r="A130" s="42" t="s">
        <v>216</v>
      </c>
      <c r="B130" s="109" t="s">
        <v>217</v>
      </c>
      <c r="C130" s="44">
        <v>1500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6"/>
        <v>1500</v>
      </c>
      <c r="M130" s="28"/>
      <c r="N130" s="28">
        <f t="shared" si="15"/>
        <v>1500</v>
      </c>
      <c r="O130" s="38">
        <f>M130/$M$142</f>
        <v>0</v>
      </c>
    </row>
    <row r="131" spans="1:15" ht="15.95" customHeight="1" x14ac:dyDescent="0.2">
      <c r="A131" s="42">
        <v>328</v>
      </c>
      <c r="B131" s="109" t="s">
        <v>234</v>
      </c>
      <c r="C131" s="44">
        <v>40000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6"/>
        <v>40000</v>
      </c>
      <c r="M131" s="28"/>
      <c r="N131" s="28">
        <f t="shared" si="15"/>
        <v>40000</v>
      </c>
      <c r="O131" s="38">
        <f>+M131/M142</f>
        <v>0</v>
      </c>
    </row>
    <row r="132" spans="1:15" ht="15.95" customHeight="1" x14ac:dyDescent="0.2">
      <c r="A132" s="42" t="s">
        <v>218</v>
      </c>
      <c r="B132" s="109" t="s">
        <v>219</v>
      </c>
      <c r="C132" s="44">
        <v>14300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si="16"/>
        <v>14300</v>
      </c>
      <c r="M132" s="28"/>
      <c r="N132" s="28">
        <f t="shared" si="15"/>
        <v>14300</v>
      </c>
      <c r="O132" s="38">
        <f>M132/$M$142</f>
        <v>0</v>
      </c>
    </row>
    <row r="133" spans="1:15" ht="15.95" hidden="1" customHeight="1" x14ac:dyDescent="0.2">
      <c r="A133" s="42" t="s">
        <v>220</v>
      </c>
      <c r="B133" s="109" t="s">
        <v>221</v>
      </c>
      <c r="C133" s="44">
        <v>0</v>
      </c>
      <c r="D133" s="28"/>
      <c r="E133" s="28"/>
      <c r="F133" s="44"/>
      <c r="G133" s="44"/>
      <c r="H133" s="28"/>
      <c r="I133" s="28"/>
      <c r="J133" s="44"/>
      <c r="K133" s="44"/>
      <c r="L133" s="28">
        <f t="shared" ref="L133" si="17">C133+D133-E133+F133-G133+J133-K133</f>
        <v>0</v>
      </c>
      <c r="M133" s="28"/>
      <c r="N133" s="28">
        <f t="shared" si="15"/>
        <v>0</v>
      </c>
      <c r="O133" s="38">
        <f>M133/$M$142</f>
        <v>0</v>
      </c>
    </row>
    <row r="134" spans="1:15" ht="15.95" customHeight="1" x14ac:dyDescent="0.2">
      <c r="A134" s="42"/>
      <c r="B134" s="109"/>
      <c r="C134" s="44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">
      <c r="A135" s="41"/>
      <c r="B135" s="100"/>
      <c r="C135" s="28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5">
      <c r="A136" s="39">
        <v>4</v>
      </c>
      <c r="B136" s="108" t="s">
        <v>81</v>
      </c>
      <c r="C136" s="26"/>
      <c r="D136" s="28"/>
      <c r="E136" s="28"/>
      <c r="F136" s="44"/>
      <c r="G136" s="44"/>
      <c r="H136" s="28"/>
      <c r="I136" s="28"/>
      <c r="J136" s="44"/>
      <c r="K136" s="44"/>
      <c r="L136" s="28"/>
      <c r="M136" s="28"/>
      <c r="N136" s="28"/>
      <c r="O136" s="38"/>
    </row>
    <row r="137" spans="1:15" ht="15.95" customHeight="1" x14ac:dyDescent="0.2">
      <c r="A137" s="41" t="s">
        <v>222</v>
      </c>
      <c r="B137" s="100" t="s">
        <v>82</v>
      </c>
      <c r="C137" s="28">
        <v>185900</v>
      </c>
      <c r="D137" s="28"/>
      <c r="E137" s="28"/>
      <c r="F137" s="44"/>
      <c r="G137" s="44"/>
      <c r="H137" s="28"/>
      <c r="I137" s="28"/>
      <c r="J137" s="44"/>
      <c r="K137" s="44"/>
      <c r="L137" s="28">
        <f t="shared" ref="L137:L138" si="18">C137+D137-E137+F137-G137+H137+J137-K137</f>
        <v>185900</v>
      </c>
      <c r="M137" s="28"/>
      <c r="N137" s="28">
        <f t="shared" si="15"/>
        <v>185900</v>
      </c>
      <c r="O137" s="38">
        <f>M137/$M$142</f>
        <v>0</v>
      </c>
    </row>
    <row r="138" spans="1:15" ht="15.95" customHeight="1" x14ac:dyDescent="0.2">
      <c r="A138" s="41" t="s">
        <v>223</v>
      </c>
      <c r="B138" s="100" t="s">
        <v>224</v>
      </c>
      <c r="C138" s="28">
        <v>7170</v>
      </c>
      <c r="D138" s="28"/>
      <c r="E138" s="28"/>
      <c r="F138" s="28"/>
      <c r="G138" s="28"/>
      <c r="H138" s="28"/>
      <c r="I138" s="28"/>
      <c r="J138" s="44"/>
      <c r="K138" s="44"/>
      <c r="L138" s="28">
        <f t="shared" si="18"/>
        <v>7170</v>
      </c>
      <c r="M138" s="28"/>
      <c r="N138" s="28">
        <f t="shared" si="15"/>
        <v>7170</v>
      </c>
      <c r="O138" s="38">
        <f>M138/$M$142</f>
        <v>0</v>
      </c>
    </row>
    <row r="139" spans="1:15" ht="15.95" customHeight="1" x14ac:dyDescent="0.2">
      <c r="A139" s="41" t="s">
        <v>225</v>
      </c>
      <c r="B139" s="100" t="s">
        <v>226</v>
      </c>
      <c r="C139" s="28">
        <v>70000</v>
      </c>
      <c r="D139" s="28"/>
      <c r="E139" s="28"/>
      <c r="F139" s="28"/>
      <c r="G139" s="28"/>
      <c r="H139" s="28"/>
      <c r="I139" s="28"/>
      <c r="J139" s="44"/>
      <c r="K139" s="44"/>
      <c r="L139" s="28">
        <f>C139+D139-E139+F139-G139+H139+J139-K139</f>
        <v>70000</v>
      </c>
      <c r="M139" s="28"/>
      <c r="N139" s="28">
        <f t="shared" si="15"/>
        <v>70000</v>
      </c>
      <c r="O139" s="38">
        <f>M139/$M$142</f>
        <v>0</v>
      </c>
    </row>
    <row r="140" spans="1:15" ht="31.5" customHeight="1" x14ac:dyDescent="0.2">
      <c r="A140" s="41">
        <v>453</v>
      </c>
      <c r="B140" s="100" t="s">
        <v>264</v>
      </c>
      <c r="C140" s="28">
        <v>0</v>
      </c>
      <c r="D140" s="28"/>
      <c r="E140" s="28"/>
      <c r="F140" s="28">
        <v>120000</v>
      </c>
      <c r="G140" s="28"/>
      <c r="H140" s="28"/>
      <c r="I140" s="28"/>
      <c r="J140" s="44"/>
      <c r="K140" s="44"/>
      <c r="L140" s="28">
        <f>C140+D140-E140+F140-G140+H140+J140-K140</f>
        <v>120000</v>
      </c>
      <c r="M140" s="28">
        <v>118168.58</v>
      </c>
      <c r="N140" s="28">
        <f t="shared" si="15"/>
        <v>1831.4199999999983</v>
      </c>
      <c r="O140" s="38"/>
    </row>
    <row r="141" spans="1:15" ht="29.25" customHeight="1" thickBot="1" x14ac:dyDescent="0.25">
      <c r="A141" s="41" t="s">
        <v>227</v>
      </c>
      <c r="B141" s="100" t="s">
        <v>228</v>
      </c>
      <c r="C141" s="28">
        <v>8750</v>
      </c>
      <c r="D141" s="28"/>
      <c r="E141" s="28"/>
      <c r="F141" s="28"/>
      <c r="G141" s="28"/>
      <c r="H141" s="28"/>
      <c r="I141" s="28"/>
      <c r="J141" s="44"/>
      <c r="K141" s="44"/>
      <c r="L141" s="28">
        <f t="shared" ref="L141" si="19">C141+D141-E141+F141-G141+H141+J141-K141</f>
        <v>8750</v>
      </c>
      <c r="M141" s="28"/>
      <c r="N141" s="28">
        <f t="shared" si="15"/>
        <v>8750</v>
      </c>
      <c r="O141" s="38">
        <f>M141/$M$142</f>
        <v>0</v>
      </c>
    </row>
    <row r="142" spans="1:15" ht="18" customHeight="1" thickBot="1" x14ac:dyDescent="0.3">
      <c r="A142" s="32"/>
      <c r="B142" s="106" t="s">
        <v>90</v>
      </c>
      <c r="C142" s="34">
        <f t="shared" ref="C142:N142" si="20">SUM(C31:C141)</f>
        <v>8258523.6200000001</v>
      </c>
      <c r="D142" s="34">
        <f t="shared" si="20"/>
        <v>0</v>
      </c>
      <c r="E142" s="34">
        <f t="shared" si="20"/>
        <v>0</v>
      </c>
      <c r="F142" s="34">
        <f t="shared" si="20"/>
        <v>584600</v>
      </c>
      <c r="G142" s="34">
        <f t="shared" si="20"/>
        <v>584600</v>
      </c>
      <c r="H142" s="34">
        <f t="shared" si="20"/>
        <v>2655496.71</v>
      </c>
      <c r="I142" s="34">
        <f t="shared" si="20"/>
        <v>0</v>
      </c>
      <c r="J142" s="64">
        <f t="shared" si="20"/>
        <v>0</v>
      </c>
      <c r="K142" s="64">
        <f t="shared" si="20"/>
        <v>0</v>
      </c>
      <c r="L142" s="34">
        <f>SUM(L31:L141)</f>
        <v>10914020.33</v>
      </c>
      <c r="M142" s="34">
        <f>SUM(M31:M141)</f>
        <v>4143716.9300000016</v>
      </c>
      <c r="N142" s="34">
        <f t="shared" si="20"/>
        <v>6770303.3999999976</v>
      </c>
      <c r="O142" s="45">
        <v>1</v>
      </c>
    </row>
    <row r="143" spans="1:15" x14ac:dyDescent="0.2">
      <c r="A143" s="46"/>
      <c r="B143" s="110"/>
      <c r="C143" s="77"/>
      <c r="D143" s="76"/>
      <c r="E143" s="47"/>
      <c r="F143" s="47"/>
      <c r="G143" s="47"/>
      <c r="H143" s="47"/>
      <c r="I143" s="47"/>
      <c r="J143" s="65"/>
      <c r="K143" s="65"/>
      <c r="L143" s="47"/>
      <c r="M143" s="47"/>
      <c r="N143" s="47"/>
    </row>
    <row r="144" spans="1:15" ht="15.75" thickBot="1" x14ac:dyDescent="0.25">
      <c r="E144" s="12"/>
      <c r="F144" s="4"/>
      <c r="L144" s="14"/>
      <c r="M144" s="4"/>
    </row>
    <row r="145" spans="1:13" ht="15.75" x14ac:dyDescent="0.25">
      <c r="A145" s="1" t="s">
        <v>83</v>
      </c>
      <c r="B145" s="112"/>
      <c r="C145" s="3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15.75" x14ac:dyDescent="0.25">
      <c r="A146" s="5" t="s">
        <v>2</v>
      </c>
      <c r="B146" s="101"/>
      <c r="C146" s="7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5.0999999999999996" customHeight="1" thickBot="1" x14ac:dyDescent="0.25">
      <c r="A147" s="8"/>
      <c r="B147" s="113"/>
      <c r="C147" s="1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ht="6.95" customHeight="1" x14ac:dyDescent="0.2">
      <c r="A148" s="48"/>
      <c r="B148" s="114"/>
      <c r="C148" s="50"/>
      <c r="D148" s="4"/>
      <c r="E148" s="4"/>
      <c r="F148" s="4"/>
      <c r="G148" s="4"/>
      <c r="H148" s="4"/>
      <c r="I148" s="4"/>
      <c r="J148" s="66"/>
      <c r="K148" s="66"/>
      <c r="L148" s="4"/>
      <c r="M148" s="4"/>
    </row>
    <row r="149" spans="1:13" x14ac:dyDescent="0.2">
      <c r="A149" s="51" t="s">
        <v>84</v>
      </c>
      <c r="B149" s="115"/>
      <c r="C149" s="53"/>
      <c r="D149" s="4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257</v>
      </c>
      <c r="B150" s="115"/>
      <c r="C150" s="69">
        <v>1808838.07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258</v>
      </c>
      <c r="B151" s="115"/>
      <c r="C151" s="69">
        <v>-22528.77</v>
      </c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54" t="s">
        <v>249</v>
      </c>
      <c r="B152" s="115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239</v>
      </c>
      <c r="B153" s="115"/>
      <c r="C153" s="69"/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83" t="s">
        <v>259</v>
      </c>
      <c r="B154" s="115"/>
      <c r="C154" s="69">
        <f>1174639.32+309594.02-600</f>
        <v>1483633.34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85</v>
      </c>
      <c r="B155" s="115"/>
      <c r="C155" s="69">
        <f>M26+750</f>
        <v>3465302.88</v>
      </c>
      <c r="D155" s="47"/>
      <c r="E155" s="4"/>
      <c r="F155" s="4"/>
      <c r="G155" s="4"/>
      <c r="H155" s="4"/>
      <c r="I155" s="4"/>
      <c r="J155" s="66"/>
      <c r="K155" s="66"/>
      <c r="L155" s="4"/>
    </row>
    <row r="156" spans="1:13" x14ac:dyDescent="0.2">
      <c r="A156" s="54" t="s">
        <v>86</v>
      </c>
      <c r="B156" s="115"/>
      <c r="C156" s="70">
        <f>-M142</f>
        <v>-4143716.9300000016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 t="s">
        <v>87</v>
      </c>
      <c r="B157" s="116"/>
      <c r="C157" s="71">
        <f>SUM(C150:C156)</f>
        <v>2591528.589999998</v>
      </c>
      <c r="D157" s="4"/>
      <c r="E157" s="4"/>
      <c r="F157" s="4"/>
      <c r="G157" s="4"/>
      <c r="H157" s="4"/>
      <c r="I157" s="4"/>
      <c r="J157" s="66"/>
      <c r="K157" s="66"/>
      <c r="L157" s="4"/>
    </row>
    <row r="158" spans="1:13" ht="15.75" x14ac:dyDescent="0.25">
      <c r="A158" s="55"/>
      <c r="B158" s="116"/>
      <c r="C158" s="71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x14ac:dyDescent="0.2">
      <c r="A159" s="51" t="s">
        <v>88</v>
      </c>
      <c r="B159" s="115"/>
      <c r="C159" s="69"/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147</v>
      </c>
      <c r="B160" s="115"/>
      <c r="C160" s="69">
        <v>276.89999999999998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241</v>
      </c>
      <c r="B161" s="115"/>
      <c r="C161" s="69">
        <v>825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ht="12" customHeight="1" x14ac:dyDescent="0.2">
      <c r="A162" s="54" t="s">
        <v>248</v>
      </c>
      <c r="B162" s="115"/>
      <c r="C162" s="69">
        <v>2496.21</v>
      </c>
      <c r="D162" s="4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150</v>
      </c>
      <c r="B163" s="115"/>
      <c r="C163" s="69">
        <f>7508.77+3399.02+703.73+28.04-0.01</f>
        <v>11639.550000000001</v>
      </c>
      <c r="D163" s="79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149</v>
      </c>
      <c r="B164" s="115"/>
      <c r="C164" s="69">
        <v>2343.96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148</v>
      </c>
      <c r="B165" s="115"/>
      <c r="C165" s="69">
        <f>26280.18+1040.09</f>
        <v>27320.27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 t="s">
        <v>253</v>
      </c>
      <c r="B166" s="115"/>
      <c r="C166" s="69">
        <f>191.14+163.24+150</f>
        <v>504.38</v>
      </c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115"/>
      <c r="C167" s="69"/>
      <c r="D167" s="80"/>
      <c r="E167" s="4"/>
      <c r="F167" s="4"/>
      <c r="G167" s="4"/>
      <c r="H167" s="4"/>
      <c r="I167" s="4"/>
      <c r="J167" s="66"/>
      <c r="K167" s="66"/>
      <c r="L167" s="4"/>
    </row>
    <row r="168" spans="1:13" x14ac:dyDescent="0.2">
      <c r="A168" s="54"/>
      <c r="B168" s="115"/>
      <c r="C168" s="70"/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15.75" x14ac:dyDescent="0.25">
      <c r="A169" s="55"/>
      <c r="B169" s="116"/>
      <c r="C169" s="71">
        <f>SUM(C160:C168)</f>
        <v>45406.27</v>
      </c>
      <c r="D169" s="81"/>
      <c r="E169" s="82"/>
      <c r="F169" s="4"/>
      <c r="G169" s="4"/>
      <c r="H169" s="4"/>
      <c r="I169" s="4"/>
      <c r="J169" s="66"/>
      <c r="K169" s="66"/>
      <c r="L169" s="4"/>
    </row>
    <row r="170" spans="1:13" ht="2.1" customHeight="1" x14ac:dyDescent="0.25">
      <c r="A170" s="55"/>
      <c r="B170" s="116"/>
      <c r="C170" s="72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x14ac:dyDescent="0.2">
      <c r="A171" s="54"/>
      <c r="B171" s="115"/>
      <c r="C171" s="69"/>
      <c r="D171" s="80"/>
      <c r="E171" s="4"/>
      <c r="F171" s="4"/>
      <c r="G171" s="4"/>
      <c r="H171" s="4"/>
      <c r="I171" s="4"/>
      <c r="J171" s="66"/>
      <c r="K171" s="66"/>
      <c r="L171" s="4"/>
    </row>
    <row r="172" spans="1:13" ht="2.1" customHeight="1" thickBot="1" x14ac:dyDescent="0.3">
      <c r="A172" s="57" t="s">
        <v>238</v>
      </c>
      <c r="B172" s="117"/>
      <c r="C172" s="68">
        <f>C157+C169</f>
        <v>2636934.859999998</v>
      </c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9.9499999999999993" customHeight="1" x14ac:dyDescent="0.2">
      <c r="A173" s="54"/>
      <c r="B173" s="115"/>
      <c r="C173" s="69"/>
      <c r="D173" s="79"/>
      <c r="E173" s="4"/>
      <c r="F173" s="4"/>
      <c r="G173" s="4"/>
      <c r="H173" s="4"/>
      <c r="I173" s="4"/>
      <c r="J173" s="66"/>
      <c r="K173" s="66"/>
      <c r="L173" s="4"/>
    </row>
    <row r="174" spans="1:13" ht="16.5" thickBot="1" x14ac:dyDescent="0.3">
      <c r="A174" s="57" t="s">
        <v>270</v>
      </c>
      <c r="B174" s="117"/>
      <c r="C174" s="68">
        <f>C157+C169</f>
        <v>2636934.859999998</v>
      </c>
      <c r="D174" s="81"/>
      <c r="E174" s="4"/>
      <c r="F174" s="4"/>
      <c r="G174" s="4"/>
      <c r="H174" s="4"/>
      <c r="I174" s="4"/>
      <c r="J174" s="66"/>
      <c r="K174" s="66"/>
      <c r="L174" s="4"/>
      <c r="M174" s="4"/>
    </row>
    <row r="175" spans="1:13" x14ac:dyDescent="0.2">
      <c r="A175" s="52"/>
      <c r="B175" s="118"/>
      <c r="C175" s="4"/>
      <c r="D175" s="4"/>
      <c r="E175" s="4"/>
      <c r="F175" s="4"/>
      <c r="G175" s="4"/>
      <c r="H175" s="4"/>
      <c r="I175" s="4"/>
      <c r="J175" s="66"/>
      <c r="K175" s="66"/>
      <c r="L175" s="4"/>
    </row>
    <row r="176" spans="1:13" x14ac:dyDescent="0.2">
      <c r="B176" s="118"/>
      <c r="C176" s="87"/>
      <c r="D176" s="4"/>
      <c r="E176" s="4"/>
    </row>
    <row r="177" spans="2:12" x14ac:dyDescent="0.2">
      <c r="C177" s="13"/>
      <c r="D177" s="4"/>
    </row>
    <row r="178" spans="2:12" x14ac:dyDescent="0.2">
      <c r="C178" s="13"/>
      <c r="D178" s="4"/>
    </row>
    <row r="179" spans="2:12" x14ac:dyDescent="0.2">
      <c r="C179" s="14"/>
      <c r="D179" s="4"/>
      <c r="I179" s="4"/>
      <c r="K179" s="66"/>
      <c r="L179" s="4"/>
    </row>
    <row r="180" spans="2:12" x14ac:dyDescent="0.2">
      <c r="C180" s="14"/>
      <c r="D180" s="4"/>
      <c r="I180" s="4"/>
      <c r="K180" s="66"/>
      <c r="L180" s="4"/>
    </row>
    <row r="181" spans="2:12" x14ac:dyDescent="0.2">
      <c r="C181" s="14"/>
      <c r="D181" s="4"/>
      <c r="I181" s="4"/>
      <c r="K181" s="66"/>
      <c r="L181" s="4"/>
    </row>
    <row r="182" spans="2:12" x14ac:dyDescent="0.2">
      <c r="C182" s="14"/>
      <c r="D182" s="4"/>
    </row>
    <row r="183" spans="2:12" x14ac:dyDescent="0.2">
      <c r="C183" s="14"/>
      <c r="D183" s="4"/>
    </row>
    <row r="184" spans="2:12" x14ac:dyDescent="0.2">
      <c r="C184" s="14"/>
      <c r="D184" s="4"/>
    </row>
    <row r="185" spans="2:12" x14ac:dyDescent="0.2">
      <c r="C185" s="14"/>
      <c r="D185" s="4"/>
    </row>
    <row r="186" spans="2:12" x14ac:dyDescent="0.2">
      <c r="D186" s="4"/>
    </row>
    <row r="187" spans="2:12" x14ac:dyDescent="0.2">
      <c r="D187" s="4"/>
    </row>
    <row r="188" spans="2:12" x14ac:dyDescent="0.2">
      <c r="B188" s="119" t="s">
        <v>254</v>
      </c>
      <c r="C188" s="85" t="s">
        <v>255</v>
      </c>
      <c r="E188" s="85"/>
      <c r="G188" s="84" t="s">
        <v>260</v>
      </c>
      <c r="J188" s="85" t="s">
        <v>252</v>
      </c>
      <c r="K188" s="74"/>
    </row>
    <row r="189" spans="2:12" x14ac:dyDescent="0.2">
      <c r="B189" s="119" t="s">
        <v>89</v>
      </c>
      <c r="C189" s="85" t="s">
        <v>261</v>
      </c>
      <c r="E189" s="85"/>
      <c r="G189" s="84" t="s">
        <v>247</v>
      </c>
      <c r="J189" s="84" t="s">
        <v>242</v>
      </c>
    </row>
    <row r="193" spans="7:12" x14ac:dyDescent="0.2">
      <c r="I193" s="4"/>
      <c r="K193" s="66"/>
      <c r="L193" s="4"/>
    </row>
    <row r="194" spans="7:12" x14ac:dyDescent="0.2">
      <c r="I194" s="4"/>
      <c r="K194" s="66"/>
      <c r="L194" s="4"/>
    </row>
    <row r="195" spans="7:12" x14ac:dyDescent="0.2">
      <c r="G195" s="59"/>
      <c r="I195" s="59"/>
      <c r="K195" s="67"/>
      <c r="L195" s="4"/>
    </row>
    <row r="196" spans="7:12" x14ac:dyDescent="0.2">
      <c r="G196" s="59"/>
      <c r="I196" s="59"/>
      <c r="K196" s="67"/>
      <c r="L196" s="4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  <c r="L200" s="4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fitToHeight="0" orientation="landscape" horizontalDpi="360" verticalDpi="360" r:id="rId1"/>
  <rowBreaks count="2" manualBreakCount="2">
    <brk id="56" max="16383" man="1"/>
    <brk id="121" max="16383" man="1"/>
  </rowBreaks>
  <ignoredErrors>
    <ignoredError sqref="L91 L93 L75 L73 L112 L51 L3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BE42B-25DA-462B-8B49-357EB7BAF139}">
  <sheetPr>
    <pageSetUpPr fitToPage="1"/>
  </sheetPr>
  <dimension ref="A1:Q212"/>
  <sheetViews>
    <sheetView topLeftCell="A3" zoomScaleNormal="100" workbookViewId="0">
      <selection activeCell="C154" sqref="C154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" width="11.42578125" style="11"/>
    <col min="17" max="17" width="12.85546875" style="11" bestFit="1" customWidth="1"/>
    <col min="18" max="16384" width="11.42578125" style="11"/>
  </cols>
  <sheetData>
    <row r="1" spans="1:15" ht="15.75" x14ac:dyDescent="0.25">
      <c r="A1" s="6" t="s">
        <v>0</v>
      </c>
      <c r="B1" s="101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101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101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101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02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6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7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103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104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100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11600+4601+400+1200+1000+3200</f>
        <v>22001</v>
      </c>
      <c r="N10" s="28">
        <f t="shared" ref="N10:N22" si="1">L10-M10</f>
        <v>14999</v>
      </c>
      <c r="O10" s="27">
        <f>M10/$M$26</f>
        <v>4.6561980086371677E-3</v>
      </c>
    </row>
    <row r="11" spans="1:15" ht="15.95" hidden="1" customHeight="1" x14ac:dyDescent="0.25">
      <c r="A11" s="29" t="s">
        <v>27</v>
      </c>
      <c r="B11" s="100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2.2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f>0.41+2100</f>
        <v>2100.41</v>
      </c>
      <c r="N12" s="28">
        <f t="shared" si="1"/>
        <v>28399.59</v>
      </c>
      <c r="O12" s="27">
        <f>M12/$M$26</f>
        <v>4.4452183352218505E-4</v>
      </c>
    </row>
    <row r="13" spans="1:15" ht="31.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104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100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722.57+661.17+900.19+486.53+213.8+380.65</f>
        <v>3364.9100000000003</v>
      </c>
      <c r="N15" s="28">
        <f t="shared" si="1"/>
        <v>5435.09</v>
      </c>
      <c r="O15" s="27">
        <f>M15/$M$26</f>
        <v>7.1213523209141827E-4</v>
      </c>
    </row>
    <row r="16" spans="1:15" ht="15.95" customHeight="1" x14ac:dyDescent="0.25">
      <c r="A16" s="25" t="s">
        <v>230</v>
      </c>
      <c r="B16" s="104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7" ht="15.95" customHeight="1" x14ac:dyDescent="0.25">
      <c r="A17" s="25" t="s">
        <v>232</v>
      </c>
      <c r="B17" s="104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7" ht="15.95" customHeight="1" x14ac:dyDescent="0.25">
      <c r="A18" s="29" t="s">
        <v>20</v>
      </c>
      <c r="B18" s="100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28">
        <f>C18+D18-E18+F18-G18+H18-I18+J18-I18-K18</f>
        <v>3968096.55</v>
      </c>
      <c r="M18" s="28">
        <f>249714.95+226495.4+345713.01+485074.38+299450.28+275080.68</f>
        <v>1881528.7</v>
      </c>
      <c r="N18" s="28">
        <f t="shared" si="1"/>
        <v>2086567.8499999999</v>
      </c>
      <c r="O18" s="27">
        <f>M18/$M$26</f>
        <v>0.3981987267003172</v>
      </c>
      <c r="Q18" s="11">
        <f>3267330.94-237956.93-188465.27</f>
        <v>2840908.7399999998</v>
      </c>
    </row>
    <row r="19" spans="1:17" ht="15.95" hidden="1" customHeight="1" x14ac:dyDescent="0.25">
      <c r="A19" s="29" t="s">
        <v>22</v>
      </c>
      <c r="B19" s="100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  <c r="P19" s="11">
        <f>SUM(P18:Q18)</f>
        <v>2840908.7399999998</v>
      </c>
      <c r="Q19" s="4">
        <f>+Q18-L12</f>
        <v>2810408.7399999998</v>
      </c>
    </row>
    <row r="20" spans="1:17" ht="15.95" customHeight="1" x14ac:dyDescent="0.25">
      <c r="A20" s="29" t="s">
        <v>23</v>
      </c>
      <c r="B20" s="100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28">
        <f>C20+D20-E20+F20-G20+H20-I20+J20-K20</f>
        <v>4261525.5600000005</v>
      </c>
      <c r="M20" s="28">
        <f>1675317.32+161001.87+979785.53</f>
        <v>2816104.7199999997</v>
      </c>
      <c r="N20" s="28">
        <f t="shared" si="1"/>
        <v>1445420.8400000008</v>
      </c>
      <c r="O20" s="27">
        <f>M20/$M$26</f>
        <v>0.59598841822543192</v>
      </c>
      <c r="P20" s="14"/>
      <c r="Q20" s="4">
        <f>+Q18-M20</f>
        <v>24804.020000000019</v>
      </c>
    </row>
    <row r="21" spans="1:17" ht="15.95" customHeight="1" x14ac:dyDescent="0.25">
      <c r="A21" s="29" t="s">
        <v>25</v>
      </c>
      <c r="B21" s="100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</row>
    <row r="22" spans="1:17" ht="15.95" customHeight="1" x14ac:dyDescent="0.25">
      <c r="A22" s="30" t="s">
        <v>29</v>
      </c>
      <c r="B22" s="105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7" ht="15.95" customHeight="1" x14ac:dyDescent="0.25">
      <c r="A23" s="25"/>
      <c r="B23" s="104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7" ht="15.95" customHeight="1" x14ac:dyDescent="0.25">
      <c r="A24" s="29" t="s">
        <v>189</v>
      </c>
      <c r="B24" s="100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7" ht="15.95" customHeight="1" thickBot="1" x14ac:dyDescent="0.3">
      <c r="A25" s="29" t="s">
        <v>188</v>
      </c>
      <c r="B25" s="100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7" ht="18" customHeight="1" thickBot="1" x14ac:dyDescent="0.3">
      <c r="A26" s="32"/>
      <c r="B26" s="106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10914020.330000002</v>
      </c>
      <c r="M26" s="34">
        <f>SUM(M10:M25)</f>
        <v>4725099.74</v>
      </c>
      <c r="N26" s="34">
        <f t="shared" si="2"/>
        <v>6188920.5900000008</v>
      </c>
      <c r="O26" s="27"/>
    </row>
    <row r="27" spans="1:17" ht="15.95" customHeight="1" x14ac:dyDescent="0.2">
      <c r="A27" s="35"/>
      <c r="B27" s="107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7" ht="15.95" customHeight="1" x14ac:dyDescent="0.25">
      <c r="A28" s="25" t="s">
        <v>33</v>
      </c>
      <c r="B28" s="104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</row>
    <row r="29" spans="1:17" ht="15.95" customHeight="1" x14ac:dyDescent="0.25">
      <c r="A29" s="25"/>
      <c r="B29" s="104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7" ht="15.95" customHeight="1" x14ac:dyDescent="0.25">
      <c r="A30" s="39">
        <v>0</v>
      </c>
      <c r="B30" s="108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7" ht="15.95" customHeight="1" x14ac:dyDescent="0.2">
      <c r="A31" s="41" t="s">
        <v>36</v>
      </c>
      <c r="B31" s="100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28">
        <f>C31+D31-E31+F31-G31+H31+J31-I31-K31</f>
        <v>846201.45000000007</v>
      </c>
      <c r="M31" s="28">
        <f>59982.77+68194.09+68194.09+68194.09+68194.09+68194.09</f>
        <v>400953.22</v>
      </c>
      <c r="N31" s="28">
        <f t="shared" ref="N31:N101" si="3">L31-M31</f>
        <v>445248.2300000001</v>
      </c>
      <c r="O31" s="38">
        <f>M31/$M$142</f>
        <v>8.4157961741642362E-2</v>
      </c>
    </row>
    <row r="32" spans="1:17" ht="30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 t="shared" ref="L32:L42" si="4">C32+D32-E32+F32-G32+H32+J32-K32</f>
        <v>13700</v>
      </c>
      <c r="M32" s="28">
        <f>750+750+750+750+750+750</f>
        <v>4500</v>
      </c>
      <c r="N32" s="28">
        <f t="shared" si="3"/>
        <v>9200</v>
      </c>
      <c r="O32" s="38">
        <f>M32/$M$142</f>
        <v>9.4452621639350013E-4</v>
      </c>
    </row>
    <row r="33" spans="1:15" ht="32.2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 t="shared" si="4"/>
        <v>311100</v>
      </c>
      <c r="M33" s="28">
        <f>18899+21149+21149+21149+21149+21149</f>
        <v>124644</v>
      </c>
      <c r="N33" s="28">
        <f t="shared" si="3"/>
        <v>186456</v>
      </c>
      <c r="O33" s="38">
        <f>M33/$M$142</f>
        <v>2.6162116825811429E-2</v>
      </c>
    </row>
    <row r="34" spans="1:15" ht="15.95" customHeight="1" x14ac:dyDescent="0.3">
      <c r="A34" s="41" t="s">
        <v>250</v>
      </c>
      <c r="B34" s="100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 t="shared" si="4"/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100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5">M35/$M$142</f>
        <v>0</v>
      </c>
    </row>
    <row r="36" spans="1:15" ht="15.95" customHeight="1" x14ac:dyDescent="0.2">
      <c r="A36" s="41" t="s">
        <v>39</v>
      </c>
      <c r="B36" s="100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28">
        <f t="shared" si="4"/>
        <v>32500</v>
      </c>
      <c r="M36" s="28">
        <f>540+1620+1620+2340+2520+2160</f>
        <v>10800</v>
      </c>
      <c r="N36" s="28">
        <f t="shared" si="3"/>
        <v>21700</v>
      </c>
      <c r="O36" s="38">
        <f t="shared" si="5"/>
        <v>2.2668629193444002E-3</v>
      </c>
    </row>
    <row r="37" spans="1:15" ht="15.95" customHeight="1" x14ac:dyDescent="0.2">
      <c r="A37" s="41" t="s">
        <v>41</v>
      </c>
      <c r="B37" s="100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f>818.04+1159.97+2178.62+1623.62</f>
        <v>5780.25</v>
      </c>
      <c r="N37" s="28">
        <f t="shared" si="3"/>
        <v>28730.550000000003</v>
      </c>
      <c r="O37" s="38">
        <f t="shared" si="5"/>
        <v>1.2132439249574508E-3</v>
      </c>
    </row>
    <row r="38" spans="1:15" ht="15.95" customHeight="1" x14ac:dyDescent="0.2">
      <c r="A38" s="41" t="s">
        <v>42</v>
      </c>
      <c r="B38" s="100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28">
        <f t="shared" si="4"/>
        <v>115401.15</v>
      </c>
      <c r="M38" s="28">
        <f>6400.16+7276.31+7363.59+7400.08+7508.77+7449.55</f>
        <v>43398.460000000006</v>
      </c>
      <c r="N38" s="28">
        <f t="shared" si="3"/>
        <v>72002.689999999988</v>
      </c>
      <c r="O38" s="38">
        <f t="shared" si="5"/>
        <v>9.1091073824677033E-3</v>
      </c>
    </row>
    <row r="39" spans="1:15" ht="15.95" customHeight="1" x14ac:dyDescent="0.2">
      <c r="A39" s="41" t="s">
        <v>43</v>
      </c>
      <c r="B39" s="100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599.83+681.94+690.12+693.54+703.73+698.18</f>
        <v>4067.3399999999997</v>
      </c>
      <c r="N39" s="28">
        <f t="shared" si="3"/>
        <v>11123.5</v>
      </c>
      <c r="O39" s="38">
        <f t="shared" si="5"/>
        <v>8.5371316910798638E-4</v>
      </c>
    </row>
    <row r="40" spans="1:15" ht="15.95" customHeight="1" x14ac:dyDescent="0.2">
      <c r="A40" s="41" t="s">
        <v>44</v>
      </c>
      <c r="B40" s="100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28">
        <f t="shared" si="4"/>
        <v>75581.009999999995</v>
      </c>
      <c r="M40" s="28"/>
      <c r="N40" s="28">
        <f t="shared" si="3"/>
        <v>75581.009999999995</v>
      </c>
      <c r="O40" s="38">
        <f t="shared" si="5"/>
        <v>0</v>
      </c>
    </row>
    <row r="41" spans="1:15" ht="15.95" customHeight="1" x14ac:dyDescent="0.2">
      <c r="A41" s="41" t="s">
        <v>46</v>
      </c>
      <c r="B41" s="100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28">
        <f t="shared" si="4"/>
        <v>75581.009999999995</v>
      </c>
      <c r="M41" s="28"/>
      <c r="N41" s="28">
        <f t="shared" si="3"/>
        <v>75581.009999999995</v>
      </c>
      <c r="O41" s="38">
        <f t="shared" si="5"/>
        <v>0</v>
      </c>
    </row>
    <row r="42" spans="1:15" ht="15.95" customHeight="1" x14ac:dyDescent="0.2">
      <c r="A42" s="41" t="s">
        <v>47</v>
      </c>
      <c r="B42" s="100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3"/>
        <v>5000</v>
      </c>
      <c r="O42" s="38">
        <f t="shared" si="5"/>
        <v>0</v>
      </c>
    </row>
    <row r="43" spans="1:15" ht="15.95" customHeight="1" x14ac:dyDescent="0.2">
      <c r="A43" s="41"/>
      <c r="B43" s="100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100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108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100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 t="shared" ref="L46:L81" si="6">C46+D46-E46+F46-G46+H46+J46-K46</f>
        <v>13750</v>
      </c>
      <c r="M46" s="28">
        <f>346.37+964.95+1334.04+944.75+883.05+1335.08</f>
        <v>5808.24</v>
      </c>
      <c r="N46" s="28">
        <f t="shared" si="3"/>
        <v>7941.76</v>
      </c>
      <c r="O46" s="38">
        <f t="shared" ref="O46:O55" si="7">M46/$M$142</f>
        <v>1.2191188780234184E-3</v>
      </c>
    </row>
    <row r="47" spans="1:15" ht="15.95" customHeight="1" x14ac:dyDescent="0.2">
      <c r="A47" s="41" t="s">
        <v>92</v>
      </c>
      <c r="B47" s="100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 t="shared" si="6"/>
        <v>26100</v>
      </c>
      <c r="M47" s="28">
        <f>7409.06+619.68+618+618+625.84+699.26</f>
        <v>10589.840000000002</v>
      </c>
      <c r="N47" s="28">
        <f t="shared" si="3"/>
        <v>15510.159999999998</v>
      </c>
      <c r="O47" s="38">
        <f t="shared" si="7"/>
        <v>2.2227514460916769E-3</v>
      </c>
    </row>
    <row r="48" spans="1:15" ht="15.95" customHeight="1" x14ac:dyDescent="0.2">
      <c r="A48" s="41" t="s">
        <v>93</v>
      </c>
      <c r="B48" s="100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 t="shared" si="6"/>
        <v>2000</v>
      </c>
      <c r="M48" s="28">
        <f>469.55+470.27+568.5</f>
        <v>1508.32</v>
      </c>
      <c r="N48" s="28">
        <f t="shared" si="3"/>
        <v>491.68000000000006</v>
      </c>
      <c r="O48" s="38">
        <f t="shared" si="7"/>
        <v>3.1658839615792089E-4</v>
      </c>
    </row>
    <row r="49" spans="1:15" ht="15.95" customHeight="1" x14ac:dyDescent="0.2">
      <c r="A49" s="41" t="s">
        <v>94</v>
      </c>
      <c r="B49" s="100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 t="shared" si="6"/>
        <v>8000</v>
      </c>
      <c r="M49" s="28">
        <f>2040+1025</f>
        <v>3065</v>
      </c>
      <c r="N49" s="28">
        <f t="shared" si="3"/>
        <v>4935</v>
      </c>
      <c r="O49" s="38">
        <f t="shared" si="7"/>
        <v>6.4332730072135067E-4</v>
      </c>
    </row>
    <row r="50" spans="1:15" ht="15.95" customHeight="1" x14ac:dyDescent="0.2">
      <c r="A50" s="41" t="s">
        <v>95</v>
      </c>
      <c r="B50" s="100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295.35+1954+176.7+106.7+241.8+2572.6</f>
        <v>5347.15</v>
      </c>
      <c r="N50" s="28">
        <f t="shared" si="3"/>
        <v>8902.85</v>
      </c>
      <c r="O50" s="38">
        <f t="shared" si="7"/>
        <v>1.1223385239974453E-3</v>
      </c>
    </row>
    <row r="51" spans="1:15" ht="15.95" customHeight="1" x14ac:dyDescent="0.2">
      <c r="A51" s="41" t="s">
        <v>96</v>
      </c>
      <c r="B51" s="100" t="s">
        <v>161</v>
      </c>
      <c r="C51" s="28">
        <v>673088.47</v>
      </c>
      <c r="D51" s="28"/>
      <c r="E51" s="28"/>
      <c r="F51" s="44">
        <v>300000</v>
      </c>
      <c r="G51" s="44"/>
      <c r="H51" s="28">
        <v>1130902.48</v>
      </c>
      <c r="I51" s="28"/>
      <c r="J51" s="44"/>
      <c r="K51" s="44"/>
      <c r="L51" s="28">
        <f>C51+D51-E51+F51-G51+H51-I51+J51-K51</f>
        <v>2103990.9500000002</v>
      </c>
      <c r="M51" s="28">
        <f>52511.08+370815.32+121201.74+589744.16+223388.71</f>
        <v>1357661.01</v>
      </c>
      <c r="N51" s="28">
        <f t="shared" si="3"/>
        <v>746329.94000000018</v>
      </c>
      <c r="O51" s="38">
        <f t="shared" si="7"/>
        <v>0.28496587042672844</v>
      </c>
    </row>
    <row r="52" spans="1:15" ht="15.95" customHeight="1" x14ac:dyDescent="0.2">
      <c r="A52" s="41" t="s">
        <v>97</v>
      </c>
      <c r="B52" s="100" t="s">
        <v>53</v>
      </c>
      <c r="C52" s="28">
        <v>563742.69999999995</v>
      </c>
      <c r="D52" s="28"/>
      <c r="E52" s="28"/>
      <c r="F52" s="44"/>
      <c r="G52" s="44">
        <v>300000</v>
      </c>
      <c r="H52" s="28">
        <v>293382.87</v>
      </c>
      <c r="I52" s="28"/>
      <c r="J52" s="44"/>
      <c r="K52" s="44"/>
      <c r="L52" s="28">
        <f>C52+D52-E52+F52-G52+H52+J52-K52</f>
        <v>557125.56999999995</v>
      </c>
      <c r="M52" s="28">
        <f>3740.5+87744.2+10441.24+13388.35+26181.25+2623.51</f>
        <v>144119.05000000002</v>
      </c>
      <c r="N52" s="28">
        <f t="shared" si="3"/>
        <v>413006.5199999999</v>
      </c>
      <c r="O52" s="38">
        <f t="shared" si="7"/>
        <v>3.0249826890383486E-2</v>
      </c>
    </row>
    <row r="53" spans="1:15" ht="15.95" customHeight="1" x14ac:dyDescent="0.2">
      <c r="A53" s="41" t="s">
        <v>98</v>
      </c>
      <c r="B53" s="100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28">
        <f>C53+D53-E53+F53-G53+H53+J53-K53</f>
        <v>1319049.7</v>
      </c>
      <c r="M53" s="28">
        <f>48849.92+109313.99+1000+269983.68+113656.54+159346.92</f>
        <v>702151.05</v>
      </c>
      <c r="N53" s="28">
        <f t="shared" si="3"/>
        <v>616898.64999999991</v>
      </c>
      <c r="O53" s="38">
        <f t="shared" si="7"/>
        <v>0.14737779435404963</v>
      </c>
    </row>
    <row r="54" spans="1:15" ht="15.95" customHeight="1" x14ac:dyDescent="0.2">
      <c r="A54" s="41" t="s">
        <v>99</v>
      </c>
      <c r="B54" s="100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>
        <v>84616</v>
      </c>
      <c r="N54" s="28">
        <f t="shared" si="3"/>
        <v>140384</v>
      </c>
      <c r="O54" s="38">
        <f t="shared" si="7"/>
        <v>1.7760451183633869E-2</v>
      </c>
    </row>
    <row r="55" spans="1:15" ht="15.95" customHeight="1" x14ac:dyDescent="0.2">
      <c r="A55" s="41" t="s">
        <v>100</v>
      </c>
      <c r="B55" s="100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7"/>
        <v>0</v>
      </c>
    </row>
    <row r="56" spans="1:15" ht="15.95" customHeight="1" x14ac:dyDescent="0.2">
      <c r="A56" s="41">
        <v>151</v>
      </c>
      <c r="B56" s="100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si="6"/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100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28">
        <f t="shared" si="6"/>
        <v>10400</v>
      </c>
      <c r="M57" s="28">
        <v>7600</v>
      </c>
      <c r="N57" s="28">
        <f t="shared" si="3"/>
        <v>2800</v>
      </c>
      <c r="O57" s="38">
        <f t="shared" ref="O57:O62" si="8">M57/$M$142</f>
        <v>1.5951998321312446E-3</v>
      </c>
    </row>
    <row r="58" spans="1:15" ht="31.5" customHeight="1" x14ac:dyDescent="0.2">
      <c r="A58" s="41" t="s">
        <v>102</v>
      </c>
      <c r="B58" s="100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3"/>
        <v>3004.32</v>
      </c>
      <c r="O58" s="38">
        <f t="shared" si="8"/>
        <v>0</v>
      </c>
    </row>
    <row r="59" spans="1:15" ht="31.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/>
      <c r="N59" s="28">
        <f t="shared" si="3"/>
        <v>7750</v>
      </c>
      <c r="O59" s="38">
        <f t="shared" si="8"/>
        <v>0</v>
      </c>
    </row>
    <row r="60" spans="1:15" ht="31.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>
        <v>448</v>
      </c>
      <c r="N60" s="28">
        <f t="shared" si="3"/>
        <v>6552</v>
      </c>
      <c r="O60" s="38">
        <f t="shared" si="8"/>
        <v>9.4032832209841794E-5</v>
      </c>
    </row>
    <row r="61" spans="1:15" ht="30.7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3"/>
        <v>13550</v>
      </c>
      <c r="O61" s="38">
        <f t="shared" si="8"/>
        <v>9.4452621639350018E-5</v>
      </c>
    </row>
    <row r="62" spans="1:15" ht="15.95" hidden="1" customHeight="1" x14ac:dyDescent="0.2">
      <c r="A62" s="41" t="s">
        <v>106</v>
      </c>
      <c r="B62" s="100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0</v>
      </c>
      <c r="M62" s="28"/>
      <c r="N62" s="28">
        <f t="shared" si="3"/>
        <v>0</v>
      </c>
      <c r="O62" s="38">
        <f t="shared" si="8"/>
        <v>0</v>
      </c>
    </row>
    <row r="63" spans="1:15" ht="15.95" customHeight="1" x14ac:dyDescent="0.2">
      <c r="A63" s="41">
        <v>169</v>
      </c>
      <c r="B63" s="100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6"/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>
        <v>171</v>
      </c>
      <c r="B64" s="100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28">
        <f>C64+D64-E64+F64-G64+H64+J64-I64-K64</f>
        <v>15000</v>
      </c>
      <c r="M64" s="28"/>
      <c r="N64" s="28">
        <f t="shared" si="3"/>
        <v>15000</v>
      </c>
      <c r="O64" s="38"/>
    </row>
    <row r="65" spans="1:15" ht="15.95" customHeight="1" x14ac:dyDescent="0.2">
      <c r="A65" s="41" t="s">
        <v>107</v>
      </c>
      <c r="B65" s="100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si="6"/>
        <v>30750</v>
      </c>
      <c r="M65" s="28"/>
      <c r="N65" s="28">
        <f t="shared" si="3"/>
        <v>30750</v>
      </c>
      <c r="O65" s="38">
        <f>M65/$M$142</f>
        <v>0</v>
      </c>
    </row>
    <row r="66" spans="1:15" ht="33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28">
        <f t="shared" si="6"/>
        <v>20000</v>
      </c>
      <c r="M66" s="28">
        <v>4000</v>
      </c>
      <c r="N66" s="28">
        <f t="shared" si="3"/>
        <v>16000</v>
      </c>
      <c r="O66" s="38"/>
    </row>
    <row r="67" spans="1:15" ht="31.5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6"/>
        <v>260706.83</v>
      </c>
      <c r="M67" s="28"/>
      <c r="N67" s="28">
        <f t="shared" si="3"/>
        <v>260706.83</v>
      </c>
      <c r="O67" s="38">
        <f t="shared" ref="O67:O81" si="9">M67/$M$142</f>
        <v>0</v>
      </c>
    </row>
    <row r="68" spans="1:15" ht="15.95" customHeight="1" x14ac:dyDescent="0.2">
      <c r="A68" s="41">
        <v>182</v>
      </c>
      <c r="B68" s="100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6"/>
        <v>10000</v>
      </c>
      <c r="M68" s="28"/>
      <c r="N68" s="28">
        <f t="shared" si="3"/>
        <v>10000</v>
      </c>
      <c r="O68" s="38">
        <f t="shared" si="9"/>
        <v>0</v>
      </c>
    </row>
    <row r="69" spans="1:15" ht="15.95" customHeight="1" x14ac:dyDescent="0.2">
      <c r="A69" s="41" t="s">
        <v>109</v>
      </c>
      <c r="B69" s="100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28">
        <f t="shared" si="6"/>
        <v>60000</v>
      </c>
      <c r="M69" s="28">
        <f>1018.44+4158</f>
        <v>5176.4400000000005</v>
      </c>
      <c r="N69" s="28">
        <f t="shared" si="3"/>
        <v>54823.56</v>
      </c>
      <c r="O69" s="38">
        <f t="shared" si="9"/>
        <v>1.0865073972417712E-3</v>
      </c>
    </row>
    <row r="70" spans="1:15" ht="15.95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28">
        <f t="shared" si="6"/>
        <v>144000</v>
      </c>
      <c r="M70" s="28">
        <f>4500+4500+4500+4500+4500+4500</f>
        <v>27000</v>
      </c>
      <c r="N70" s="28">
        <f t="shared" si="3"/>
        <v>117000</v>
      </c>
      <c r="O70" s="38">
        <f t="shared" si="9"/>
        <v>5.6671572983610008E-3</v>
      </c>
    </row>
    <row r="71" spans="1:15" ht="15.95" customHeight="1" x14ac:dyDescent="0.2">
      <c r="A71" s="41" t="s">
        <v>111</v>
      </c>
      <c r="B71" s="100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28">
        <f t="shared" si="6"/>
        <v>9500</v>
      </c>
      <c r="M71" s="28">
        <f>235.2+352.8+117.6+117.6+117.6</f>
        <v>940.80000000000007</v>
      </c>
      <c r="N71" s="28">
        <f t="shared" si="3"/>
        <v>8559.2000000000007</v>
      </c>
      <c r="O71" s="38">
        <f t="shared" si="9"/>
        <v>1.9746894764066777E-4</v>
      </c>
    </row>
    <row r="72" spans="1:15" ht="15.95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6"/>
        <v>24540</v>
      </c>
      <c r="M72" s="28"/>
      <c r="N72" s="28">
        <f t="shared" si="3"/>
        <v>24540</v>
      </c>
      <c r="O72" s="38">
        <f t="shared" si="9"/>
        <v>0</v>
      </c>
    </row>
    <row r="73" spans="1:15" ht="15.95" customHeight="1" x14ac:dyDescent="0.2">
      <c r="A73" s="41" t="s">
        <v>113</v>
      </c>
      <c r="B73" s="100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28">
        <f>C73+D73-E73+F73-G73+H73-I73+J73-K73</f>
        <v>963300</v>
      </c>
      <c r="M73" s="28">
        <f>93776.76+70259.49+71194.06+140236.56+23297.97+74682.96</f>
        <v>473447.8</v>
      </c>
      <c r="N73" s="28">
        <f t="shared" si="3"/>
        <v>489852.2</v>
      </c>
      <c r="O73" s="38">
        <f t="shared" si="9"/>
        <v>9.9374190931961454E-2</v>
      </c>
    </row>
    <row r="74" spans="1:15" ht="32.25" customHeight="1" x14ac:dyDescent="0.2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 t="shared" si="6"/>
        <v>8000</v>
      </c>
      <c r="M74" s="28"/>
      <c r="N74" s="28">
        <f t="shared" si="3"/>
        <v>8000</v>
      </c>
      <c r="O74" s="38">
        <f t="shared" si="9"/>
        <v>0</v>
      </c>
    </row>
    <row r="75" spans="1:15" ht="15.95" customHeight="1" x14ac:dyDescent="0.2">
      <c r="A75" s="41" t="s">
        <v>115</v>
      </c>
      <c r="B75" s="100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28">
        <f>C75+D75-E75+F75-G75+H75+J75-I75-K75</f>
        <v>130000</v>
      </c>
      <c r="M75" s="28"/>
      <c r="N75" s="28">
        <f t="shared" si="3"/>
        <v>130000</v>
      </c>
      <c r="O75" s="38">
        <f t="shared" si="9"/>
        <v>0</v>
      </c>
    </row>
    <row r="76" spans="1:15" ht="15.95" customHeight="1" x14ac:dyDescent="0.2">
      <c r="A76" s="41" t="s">
        <v>116</v>
      </c>
      <c r="B76" s="100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 t="shared" si="6"/>
        <v>8250</v>
      </c>
      <c r="M76" s="28">
        <f>911.4+353.71</f>
        <v>1265.1099999999999</v>
      </c>
      <c r="N76" s="28">
        <f t="shared" si="3"/>
        <v>6984.89</v>
      </c>
      <c r="O76" s="38">
        <f t="shared" si="9"/>
        <v>2.6553990258257353E-4</v>
      </c>
    </row>
    <row r="77" spans="1:15" ht="15.95" customHeight="1" x14ac:dyDescent="0.2">
      <c r="A77" s="41" t="s">
        <v>117</v>
      </c>
      <c r="B77" s="100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 t="shared" si="6"/>
        <v>2500</v>
      </c>
      <c r="M77" s="28">
        <f>50+56.72+130.7+87.35+50.36+106.35</f>
        <v>481.48</v>
      </c>
      <c r="N77" s="28">
        <f t="shared" si="3"/>
        <v>2018.52</v>
      </c>
      <c r="O77" s="38">
        <f t="shared" si="9"/>
        <v>1.0106010725980943E-4</v>
      </c>
    </row>
    <row r="78" spans="1:15" ht="15.95" customHeight="1" x14ac:dyDescent="0.2">
      <c r="A78" s="41" t="s">
        <v>118</v>
      </c>
      <c r="B78" s="100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 t="shared" si="6"/>
        <v>125000</v>
      </c>
      <c r="M78" s="28">
        <f>10+30+10.2+220+300.4</f>
        <v>570.59999999999991</v>
      </c>
      <c r="N78" s="28">
        <f t="shared" si="3"/>
        <v>124429.4</v>
      </c>
      <c r="O78" s="38">
        <f t="shared" si="9"/>
        <v>1.1976592423869579E-4</v>
      </c>
    </row>
    <row r="79" spans="1:15" ht="15.95" customHeight="1" x14ac:dyDescent="0.2">
      <c r="A79" s="41" t="s">
        <v>119</v>
      </c>
      <c r="B79" s="100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 t="shared" ref="L79:L80" si="10">C79+D79-E79+F79-G79+H79+J79-I79-K79</f>
        <v>50000</v>
      </c>
      <c r="M79" s="28"/>
      <c r="N79" s="28">
        <f t="shared" si="3"/>
        <v>50000</v>
      </c>
      <c r="O79" s="38">
        <f t="shared" si="9"/>
        <v>0</v>
      </c>
    </row>
    <row r="80" spans="1:15" ht="15.95" customHeight="1" x14ac:dyDescent="0.2">
      <c r="A80" s="41" t="s">
        <v>178</v>
      </c>
      <c r="B80" s="100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 t="shared" si="10"/>
        <v>46100</v>
      </c>
      <c r="M80" s="28"/>
      <c r="N80" s="28">
        <f t="shared" si="3"/>
        <v>46100</v>
      </c>
      <c r="O80" s="38">
        <f t="shared" si="9"/>
        <v>0</v>
      </c>
    </row>
    <row r="81" spans="1:15" ht="15.95" customHeight="1" x14ac:dyDescent="0.2">
      <c r="A81" s="41" t="s">
        <v>120</v>
      </c>
      <c r="B81" s="100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 t="shared" si="6"/>
        <v>51000</v>
      </c>
      <c r="M81" s="28">
        <f>440+44+2062.32+170</f>
        <v>2716.32</v>
      </c>
      <c r="N81" s="28">
        <f t="shared" si="3"/>
        <v>48283.68</v>
      </c>
      <c r="O81" s="38">
        <f t="shared" si="9"/>
        <v>5.7014121158088717E-4</v>
      </c>
    </row>
    <row r="82" spans="1:15" ht="15.95" customHeight="1" x14ac:dyDescent="0.2">
      <c r="A82" s="41"/>
      <c r="B82" s="100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100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108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100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121" si="11">C85+D85-E85+F85-G85+H85+J85-K85</f>
        <v>146784.1</v>
      </c>
      <c r="M85" s="28">
        <f>2380.7+754.5+12765.2+1133.1+2185.25+2268.2</f>
        <v>21486.95</v>
      </c>
      <c r="N85" s="28">
        <f t="shared" si="3"/>
        <v>125297.15000000001</v>
      </c>
      <c r="O85" s="38">
        <f t="shared" ref="O85:O121" si="12">M85/$M$142</f>
        <v>4.5099972411858482E-3</v>
      </c>
    </row>
    <row r="86" spans="1:15" ht="15.95" hidden="1" customHeight="1" x14ac:dyDescent="0.2">
      <c r="A86" s="41">
        <v>214</v>
      </c>
      <c r="B86" s="100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1"/>
        <v>0</v>
      </c>
      <c r="M86" s="28"/>
      <c r="N86" s="28">
        <f t="shared" si="3"/>
        <v>0</v>
      </c>
      <c r="O86" s="38">
        <f t="shared" si="12"/>
        <v>0</v>
      </c>
    </row>
    <row r="87" spans="1:15" ht="15.95" customHeight="1" x14ac:dyDescent="0.2">
      <c r="A87" s="41">
        <v>223</v>
      </c>
      <c r="B87" s="100" t="s">
        <v>192</v>
      </c>
      <c r="C87" s="28">
        <v>2000</v>
      </c>
      <c r="D87" s="28"/>
      <c r="E87" s="28"/>
      <c r="F87" s="44"/>
      <c r="G87" s="44"/>
      <c r="H87" s="28">
        <v>10000</v>
      </c>
      <c r="I87" s="28"/>
      <c r="J87" s="44"/>
      <c r="K87" s="44"/>
      <c r="L87" s="28">
        <f t="shared" si="11"/>
        <v>12000</v>
      </c>
      <c r="M87" s="28">
        <v>120</v>
      </c>
      <c r="N87" s="28">
        <f t="shared" si="3"/>
        <v>11880</v>
      </c>
      <c r="O87" s="38">
        <f t="shared" si="12"/>
        <v>2.5187365770493335E-5</v>
      </c>
    </row>
    <row r="88" spans="1:15" ht="15.95" hidden="1" customHeight="1" x14ac:dyDescent="0.2">
      <c r="A88" s="41">
        <v>229</v>
      </c>
      <c r="B88" s="100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1"/>
        <v>0</v>
      </c>
      <c r="M88" s="28"/>
      <c r="N88" s="28">
        <f t="shared" si="3"/>
        <v>0</v>
      </c>
      <c r="O88" s="38">
        <f t="shared" si="12"/>
        <v>0</v>
      </c>
    </row>
    <row r="89" spans="1:15" ht="15.95" customHeight="1" x14ac:dyDescent="0.2">
      <c r="A89" s="41" t="s">
        <v>122</v>
      </c>
      <c r="B89" s="100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1"/>
        <v>5000</v>
      </c>
      <c r="M89" s="28">
        <f>94.99+48+684.2</f>
        <v>827.19</v>
      </c>
      <c r="N89" s="28">
        <f t="shared" si="3"/>
        <v>4172.8099999999995</v>
      </c>
      <c r="O89" s="38">
        <f t="shared" si="12"/>
        <v>1.7362280909745319E-4</v>
      </c>
    </row>
    <row r="90" spans="1:15" ht="15.95" customHeight="1" x14ac:dyDescent="0.2">
      <c r="A90" s="41" t="s">
        <v>123</v>
      </c>
      <c r="B90" s="100" t="s">
        <v>63</v>
      </c>
      <c r="C90" s="28">
        <v>33800</v>
      </c>
      <c r="D90" s="28"/>
      <c r="E90" s="28"/>
      <c r="F90" s="44"/>
      <c r="G90" s="44"/>
      <c r="H90" s="28">
        <v>20017.62</v>
      </c>
      <c r="I90" s="28"/>
      <c r="J90" s="44">
        <v>15000</v>
      </c>
      <c r="K90" s="44"/>
      <c r="L90" s="28">
        <f t="shared" si="11"/>
        <v>68817.62</v>
      </c>
      <c r="M90" s="28">
        <f>21140+8098.8</f>
        <v>29238.799999999999</v>
      </c>
      <c r="N90" s="28">
        <f t="shared" si="3"/>
        <v>39578.819999999992</v>
      </c>
      <c r="O90" s="38">
        <f t="shared" si="12"/>
        <v>6.1370695857525049E-3</v>
      </c>
    </row>
    <row r="91" spans="1:15" ht="15.95" customHeight="1" x14ac:dyDescent="0.2">
      <c r="A91" s="41" t="s">
        <v>124</v>
      </c>
      <c r="B91" s="100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 t="shared" ref="L91" si="13">C91+D91-E91+F91-G91+H91+J91-I91-K91</f>
        <v>5250</v>
      </c>
      <c r="M91" s="28">
        <f>439+446.2+360+360+360+416.45</f>
        <v>2381.65</v>
      </c>
      <c r="N91" s="28">
        <f t="shared" si="3"/>
        <v>2868.35</v>
      </c>
      <c r="O91" s="38">
        <f t="shared" si="12"/>
        <v>4.9989574739412877E-4</v>
      </c>
    </row>
    <row r="92" spans="1:15" ht="15.95" customHeight="1" x14ac:dyDescent="0.2">
      <c r="A92" s="41" t="s">
        <v>125</v>
      </c>
      <c r="B92" s="100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 t="shared" si="11"/>
        <v>10500</v>
      </c>
      <c r="M92" s="28">
        <f>970+65.15+174.99+1122.19+587.15+1070.24</f>
        <v>3989.7200000000003</v>
      </c>
      <c r="N92" s="28">
        <f t="shared" si="3"/>
        <v>6510.28</v>
      </c>
      <c r="O92" s="38">
        <f t="shared" si="12"/>
        <v>8.3742114134877229E-4</v>
      </c>
    </row>
    <row r="93" spans="1:15" ht="15.95" customHeight="1" x14ac:dyDescent="0.2">
      <c r="A93" s="41" t="s">
        <v>126</v>
      </c>
      <c r="B93" s="100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 t="shared" ref="L93" si="14">C93+D93-E93+F93-G93+H93+J93-I93-K93</f>
        <v>3050</v>
      </c>
      <c r="M93" s="28">
        <f>394.5+294.3+387.3</f>
        <v>1076.0999999999999</v>
      </c>
      <c r="N93" s="28">
        <f t="shared" si="3"/>
        <v>1973.9</v>
      </c>
      <c r="O93" s="38">
        <f t="shared" si="12"/>
        <v>2.2586770254689898E-4</v>
      </c>
    </row>
    <row r="94" spans="1:15" ht="15.95" customHeight="1" x14ac:dyDescent="0.2">
      <c r="A94" s="41" t="s">
        <v>127</v>
      </c>
      <c r="B94" s="100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si="11"/>
        <v>875</v>
      </c>
      <c r="M94" s="28"/>
      <c r="N94" s="28">
        <f t="shared" si="3"/>
        <v>875</v>
      </c>
      <c r="O94" s="38">
        <f t="shared" si="12"/>
        <v>0</v>
      </c>
    </row>
    <row r="95" spans="1:15" ht="15.95" customHeight="1" x14ac:dyDescent="0.2">
      <c r="A95" s="41" t="s">
        <v>128</v>
      </c>
      <c r="B95" s="100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1"/>
        <v>5500</v>
      </c>
      <c r="M95" s="28"/>
      <c r="N95" s="28">
        <f t="shared" si="3"/>
        <v>5500</v>
      </c>
      <c r="O95" s="38">
        <f t="shared" si="12"/>
        <v>0</v>
      </c>
    </row>
    <row r="96" spans="1:15" ht="15.95" customHeight="1" x14ac:dyDescent="0.2">
      <c r="A96" s="41" t="s">
        <v>129</v>
      </c>
      <c r="B96" s="100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1"/>
        <v>2700</v>
      </c>
      <c r="M96" s="28">
        <f>527.45+48+320+1742.85</f>
        <v>2638.3</v>
      </c>
      <c r="N96" s="28">
        <f t="shared" si="3"/>
        <v>61.699999999999818</v>
      </c>
      <c r="O96" s="38">
        <f t="shared" si="12"/>
        <v>5.537652259357714E-4</v>
      </c>
    </row>
    <row r="97" spans="1:15" ht="15.95" customHeight="1" x14ac:dyDescent="0.2">
      <c r="A97" s="41" t="s">
        <v>196</v>
      </c>
      <c r="B97" s="100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1"/>
        <v>2800</v>
      </c>
      <c r="M97" s="28">
        <f>89+40+158</f>
        <v>287</v>
      </c>
      <c r="N97" s="28">
        <f t="shared" si="3"/>
        <v>2513</v>
      </c>
      <c r="O97" s="38">
        <f t="shared" si="12"/>
        <v>6.0239783134429894E-5</v>
      </c>
    </row>
    <row r="98" spans="1:15" ht="15.95" customHeight="1" x14ac:dyDescent="0.2">
      <c r="A98" s="41" t="s">
        <v>130</v>
      </c>
      <c r="B98" s="100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1"/>
        <v>8500</v>
      </c>
      <c r="M98" s="28">
        <f>687.48+165+140+326.74+957.98+950</f>
        <v>3227.2</v>
      </c>
      <c r="N98" s="28">
        <f t="shared" si="3"/>
        <v>5272.8</v>
      </c>
      <c r="O98" s="38">
        <f t="shared" si="12"/>
        <v>6.7737222345446747E-4</v>
      </c>
    </row>
    <row r="99" spans="1:15" ht="15.95" customHeight="1" x14ac:dyDescent="0.2">
      <c r="A99" s="41" t="s">
        <v>131</v>
      </c>
      <c r="B99" s="100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1"/>
        <v>6000</v>
      </c>
      <c r="M99" s="28">
        <v>342.5</v>
      </c>
      <c r="N99" s="28">
        <f t="shared" si="3"/>
        <v>5657.5</v>
      </c>
      <c r="O99" s="38">
        <f t="shared" si="12"/>
        <v>7.1888939803283061E-5</v>
      </c>
    </row>
    <row r="100" spans="1:15" ht="15.95" customHeight="1" x14ac:dyDescent="0.2">
      <c r="A100" s="41" t="s">
        <v>132</v>
      </c>
      <c r="B100" s="100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>
        <v>50000</v>
      </c>
      <c r="K100" s="44"/>
      <c r="L100" s="28">
        <f t="shared" si="11"/>
        <v>67500</v>
      </c>
      <c r="M100" s="28">
        <f>862.5+1427.35</f>
        <v>2289.85</v>
      </c>
      <c r="N100" s="28">
        <f t="shared" si="3"/>
        <v>65210.15</v>
      </c>
      <c r="O100" s="38">
        <f t="shared" si="12"/>
        <v>4.8062741257970138E-4</v>
      </c>
    </row>
    <row r="101" spans="1:15" ht="15.95" customHeight="1" x14ac:dyDescent="0.2">
      <c r="A101" s="41" t="s">
        <v>133</v>
      </c>
      <c r="B101" s="100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1"/>
        <v>3000</v>
      </c>
      <c r="M101" s="28">
        <f>691.35+274.07+29.5+1161.24+18</f>
        <v>2174.16</v>
      </c>
      <c r="N101" s="28">
        <f t="shared" si="3"/>
        <v>825.84000000000015</v>
      </c>
      <c r="O101" s="38">
        <f t="shared" si="12"/>
        <v>4.5634469302979823E-4</v>
      </c>
    </row>
    <row r="102" spans="1:15" ht="15.95" customHeight="1" x14ac:dyDescent="0.2">
      <c r="A102" s="41" t="s">
        <v>134</v>
      </c>
      <c r="B102" s="100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1"/>
        <v>1500</v>
      </c>
      <c r="M102" s="28"/>
      <c r="N102" s="28">
        <f t="shared" ref="N102:N141" si="15">L102-M102</f>
        <v>1500</v>
      </c>
      <c r="O102" s="38">
        <f t="shared" si="12"/>
        <v>0</v>
      </c>
    </row>
    <row r="103" spans="1:15" ht="15.95" customHeight="1" x14ac:dyDescent="0.2">
      <c r="A103" s="41" t="s">
        <v>135</v>
      </c>
      <c r="B103" s="100" t="s">
        <v>70</v>
      </c>
      <c r="C103" s="28">
        <v>181653.08</v>
      </c>
      <c r="D103" s="28"/>
      <c r="E103" s="28"/>
      <c r="F103" s="44"/>
      <c r="G103" s="44"/>
      <c r="H103" s="28">
        <v>100000</v>
      </c>
      <c r="I103" s="28"/>
      <c r="J103" s="44"/>
      <c r="K103" s="44">
        <v>122000</v>
      </c>
      <c r="L103" s="28">
        <f t="shared" si="11"/>
        <v>159653.07999999996</v>
      </c>
      <c r="M103" s="28"/>
      <c r="N103" s="28">
        <f t="shared" si="15"/>
        <v>159653.07999999996</v>
      </c>
      <c r="O103" s="38">
        <f t="shared" si="12"/>
        <v>0</v>
      </c>
    </row>
    <row r="104" spans="1:15" ht="15.95" hidden="1" customHeight="1" x14ac:dyDescent="0.2">
      <c r="A104" s="41">
        <v>272</v>
      </c>
      <c r="B104" s="100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1"/>
        <v>0</v>
      </c>
      <c r="M104" s="28"/>
      <c r="N104" s="28">
        <f t="shared" si="15"/>
        <v>0</v>
      </c>
      <c r="O104" s="38">
        <f t="shared" si="12"/>
        <v>0</v>
      </c>
    </row>
    <row r="105" spans="1:15" ht="15.95" hidden="1" customHeight="1" x14ac:dyDescent="0.2">
      <c r="A105" s="41" t="s">
        <v>136</v>
      </c>
      <c r="B105" s="100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1"/>
        <v>0</v>
      </c>
      <c r="M105" s="28"/>
      <c r="N105" s="28">
        <f t="shared" si="15"/>
        <v>0</v>
      </c>
      <c r="O105" s="38">
        <f t="shared" si="12"/>
        <v>0</v>
      </c>
    </row>
    <row r="106" spans="1:15" ht="15.95" customHeight="1" x14ac:dyDescent="0.2">
      <c r="A106" s="41">
        <v>274</v>
      </c>
      <c r="B106" s="100" t="s">
        <v>71</v>
      </c>
      <c r="C106" s="28">
        <v>1500</v>
      </c>
      <c r="D106" s="28"/>
      <c r="E106" s="28"/>
      <c r="F106" s="44"/>
      <c r="G106" s="44"/>
      <c r="H106" s="28">
        <v>10000</v>
      </c>
      <c r="I106" s="28"/>
      <c r="J106" s="44"/>
      <c r="K106" s="44"/>
      <c r="L106" s="28">
        <f t="shared" si="11"/>
        <v>11500</v>
      </c>
      <c r="M106" s="28">
        <v>486</v>
      </c>
      <c r="N106" s="28">
        <f t="shared" si="15"/>
        <v>11014</v>
      </c>
      <c r="O106" s="38">
        <f t="shared" si="12"/>
        <v>1.0200883137049801E-4</v>
      </c>
    </row>
    <row r="107" spans="1:15" ht="15.95" hidden="1" customHeight="1" x14ac:dyDescent="0.2">
      <c r="A107" s="41">
        <v>275</v>
      </c>
      <c r="B107" s="100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1"/>
        <v>0</v>
      </c>
      <c r="M107" s="28"/>
      <c r="N107" s="28">
        <f t="shared" si="15"/>
        <v>0</v>
      </c>
      <c r="O107" s="38">
        <f t="shared" si="12"/>
        <v>0</v>
      </c>
    </row>
    <row r="108" spans="1:15" ht="15.95" customHeight="1" x14ac:dyDescent="0.2">
      <c r="A108" s="41">
        <v>279</v>
      </c>
      <c r="B108" s="100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1"/>
        <v>750</v>
      </c>
      <c r="M108" s="28"/>
      <c r="N108" s="28">
        <f t="shared" si="15"/>
        <v>750</v>
      </c>
      <c r="O108" s="38">
        <f t="shared" si="12"/>
        <v>0</v>
      </c>
    </row>
    <row r="109" spans="1:15" ht="15.95" hidden="1" customHeight="1" x14ac:dyDescent="0.2">
      <c r="A109" s="41">
        <v>281</v>
      </c>
      <c r="B109" s="100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1"/>
        <v>0</v>
      </c>
      <c r="M109" s="28"/>
      <c r="N109" s="28">
        <f t="shared" si="15"/>
        <v>0</v>
      </c>
      <c r="O109" s="38">
        <f t="shared" si="12"/>
        <v>0</v>
      </c>
    </row>
    <row r="110" spans="1:15" ht="15.95" customHeight="1" x14ac:dyDescent="0.2">
      <c r="A110" s="41" t="s">
        <v>137</v>
      </c>
      <c r="B110" s="100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1"/>
        <v>4800</v>
      </c>
      <c r="M110" s="28">
        <f>31.6+60.84+123.51</f>
        <v>215.95</v>
      </c>
      <c r="N110" s="28">
        <f t="shared" si="15"/>
        <v>4584.05</v>
      </c>
      <c r="O110" s="38">
        <f t="shared" si="12"/>
        <v>4.5326763651150297E-5</v>
      </c>
    </row>
    <row r="111" spans="1:15" ht="15.95" customHeight="1" x14ac:dyDescent="0.2">
      <c r="A111" s="41" t="s">
        <v>138</v>
      </c>
      <c r="B111" s="100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1"/>
        <v>28800</v>
      </c>
      <c r="M111" s="28">
        <v>924.54</v>
      </c>
      <c r="N111" s="28">
        <f t="shared" si="15"/>
        <v>27875.46</v>
      </c>
      <c r="O111" s="38">
        <f t="shared" si="12"/>
        <v>1.940560595787659E-4</v>
      </c>
    </row>
    <row r="112" spans="1:15" ht="15.95" customHeight="1" x14ac:dyDescent="0.2">
      <c r="A112" s="41" t="s">
        <v>139</v>
      </c>
      <c r="B112" s="100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>
        <v>1088331</v>
      </c>
      <c r="N112" s="28">
        <f t="shared" si="15"/>
        <v>211669</v>
      </c>
      <c r="O112" s="38">
        <f t="shared" si="12"/>
        <v>0.22843492480305652</v>
      </c>
    </row>
    <row r="113" spans="1:15" ht="15.95" customHeight="1" x14ac:dyDescent="0.2">
      <c r="A113" s="41">
        <v>286</v>
      </c>
      <c r="B113" s="100" t="s">
        <v>207</v>
      </c>
      <c r="C113" s="28">
        <v>1500</v>
      </c>
      <c r="D113" s="28"/>
      <c r="E113" s="28"/>
      <c r="F113" s="44"/>
      <c r="G113" s="44"/>
      <c r="H113" s="28">
        <v>3000</v>
      </c>
      <c r="I113" s="28"/>
      <c r="J113" s="44"/>
      <c r="K113" s="44"/>
      <c r="L113" s="28">
        <f t="shared" si="11"/>
        <v>4500</v>
      </c>
      <c r="M113" s="28">
        <v>118</v>
      </c>
      <c r="N113" s="28">
        <f t="shared" si="15"/>
        <v>4382</v>
      </c>
      <c r="O113" s="38">
        <f t="shared" si="12"/>
        <v>2.4767576340985115E-5</v>
      </c>
    </row>
    <row r="114" spans="1:15" ht="15.95" hidden="1" customHeight="1" x14ac:dyDescent="0.2">
      <c r="A114" s="41">
        <v>289</v>
      </c>
      <c r="B114" s="100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1"/>
        <v>0</v>
      </c>
      <c r="M114" s="28"/>
      <c r="N114" s="28">
        <f t="shared" si="15"/>
        <v>0</v>
      </c>
      <c r="O114" s="38">
        <f t="shared" si="12"/>
        <v>0</v>
      </c>
    </row>
    <row r="115" spans="1:15" ht="15.95" customHeight="1" x14ac:dyDescent="0.2">
      <c r="A115" s="41" t="s">
        <v>140</v>
      </c>
      <c r="B115" s="100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1"/>
        <v>6600</v>
      </c>
      <c r="M115" s="28">
        <f>170.3+371+88.55+154.7+1286.78+366.45</f>
        <v>2437.7799999999997</v>
      </c>
      <c r="N115" s="28">
        <f t="shared" si="15"/>
        <v>4162.22</v>
      </c>
      <c r="O115" s="38">
        <f t="shared" si="12"/>
        <v>5.1167713773327703E-4</v>
      </c>
    </row>
    <row r="116" spans="1:15" ht="33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1"/>
        <v>4000</v>
      </c>
      <c r="M116" s="28">
        <f>274.1+117.25+110.65+75.98+241.2+191.88</f>
        <v>1011.0600000000001</v>
      </c>
      <c r="N116" s="28">
        <f t="shared" si="15"/>
        <v>2988.94</v>
      </c>
      <c r="O116" s="38">
        <f t="shared" si="12"/>
        <v>2.1221615029929161E-4</v>
      </c>
    </row>
    <row r="117" spans="1:15" ht="15.95" customHeight="1" x14ac:dyDescent="0.2">
      <c r="A117" s="41" t="s">
        <v>142</v>
      </c>
      <c r="B117" s="100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1"/>
        <v>25251.9</v>
      </c>
      <c r="M117" s="28">
        <f>4500+5193.57</f>
        <v>9693.57</v>
      </c>
      <c r="N117" s="28">
        <f t="shared" si="15"/>
        <v>15558.330000000002</v>
      </c>
      <c r="O117" s="38">
        <f t="shared" si="12"/>
        <v>2.0346291100990089E-3</v>
      </c>
    </row>
    <row r="118" spans="1:15" ht="15.95" customHeight="1" x14ac:dyDescent="0.2">
      <c r="A118" s="41" t="s">
        <v>143</v>
      </c>
      <c r="B118" s="100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1"/>
        <v>2000</v>
      </c>
      <c r="M118" s="28"/>
      <c r="N118" s="28">
        <f t="shared" si="15"/>
        <v>2000</v>
      </c>
      <c r="O118" s="38">
        <f t="shared" si="12"/>
        <v>0</v>
      </c>
    </row>
    <row r="119" spans="1:15" ht="33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>
        <v>20500</v>
      </c>
      <c r="I119" s="28"/>
      <c r="J119" s="44"/>
      <c r="K119" s="44"/>
      <c r="L119" s="28">
        <f t="shared" si="11"/>
        <v>30000</v>
      </c>
      <c r="M119" s="28">
        <f>194+575.6</f>
        <v>769.6</v>
      </c>
      <c r="N119" s="28">
        <f t="shared" si="15"/>
        <v>29230.400000000001</v>
      </c>
      <c r="O119" s="38">
        <f t="shared" si="12"/>
        <v>1.6153497247476393E-4</v>
      </c>
    </row>
    <row r="120" spans="1:15" ht="15.95" customHeight="1" x14ac:dyDescent="0.2">
      <c r="A120" s="41" t="s">
        <v>145</v>
      </c>
      <c r="B120" s="100" t="s">
        <v>77</v>
      </c>
      <c r="C120" s="28">
        <v>76000</v>
      </c>
      <c r="D120" s="28"/>
      <c r="E120" s="28"/>
      <c r="F120" s="44"/>
      <c r="G120" s="44"/>
      <c r="H120" s="28">
        <v>75000</v>
      </c>
      <c r="I120" s="28"/>
      <c r="J120" s="44">
        <v>49000</v>
      </c>
      <c r="K120" s="44"/>
      <c r="L120" s="28">
        <f t="shared" si="11"/>
        <v>200000</v>
      </c>
      <c r="M120" s="28">
        <v>18285.5</v>
      </c>
      <c r="N120" s="28">
        <f t="shared" si="15"/>
        <v>181714.5</v>
      </c>
      <c r="O120" s="38">
        <f t="shared" si="12"/>
        <v>3.8380298066362992E-3</v>
      </c>
    </row>
    <row r="121" spans="1:15" ht="15.95" customHeight="1" x14ac:dyDescent="0.2">
      <c r="A121" s="41" t="s">
        <v>146</v>
      </c>
      <c r="B121" s="100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1"/>
        <v>9500</v>
      </c>
      <c r="M121" s="28">
        <f>256.15+122.2+625.35+1200+1803.2</f>
        <v>4006.8999999999996</v>
      </c>
      <c r="N121" s="28">
        <f t="shared" si="15"/>
        <v>5493.1</v>
      </c>
      <c r="O121" s="38">
        <f t="shared" si="12"/>
        <v>8.4102713254824782E-4</v>
      </c>
    </row>
    <row r="122" spans="1:15" ht="15.95" customHeight="1" x14ac:dyDescent="0.2">
      <c r="A122" s="41"/>
      <c r="B122" s="100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100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100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108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109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2" si="16">C126+D126-E126+F126-G126+H126+J126-K126</f>
        <v>10000</v>
      </c>
      <c r="M126" s="28"/>
      <c r="N126" s="28">
        <f t="shared" si="15"/>
        <v>10000</v>
      </c>
      <c r="O126" s="38">
        <f>M126/$M$142</f>
        <v>0</v>
      </c>
    </row>
    <row r="127" spans="1:15" ht="15.95" hidden="1" customHeight="1" x14ac:dyDescent="0.2">
      <c r="A127" s="42" t="s">
        <v>80</v>
      </c>
      <c r="B127" s="109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6"/>
        <v>0</v>
      </c>
      <c r="M127" s="28"/>
      <c r="N127" s="28">
        <f t="shared" si="15"/>
        <v>0</v>
      </c>
      <c r="O127" s="38">
        <f>M127/$M$142</f>
        <v>0</v>
      </c>
    </row>
    <row r="128" spans="1:15" ht="15.95" customHeight="1" x14ac:dyDescent="0.2">
      <c r="A128" s="42" t="s">
        <v>214</v>
      </c>
      <c r="B128" s="109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6"/>
        <v>304035</v>
      </c>
      <c r="M128" s="28"/>
      <c r="N128" s="28">
        <f t="shared" si="15"/>
        <v>304035</v>
      </c>
      <c r="O128" s="38">
        <f>M128/$M$142</f>
        <v>0</v>
      </c>
    </row>
    <row r="129" spans="1:15" ht="15.95" customHeight="1" x14ac:dyDescent="0.2">
      <c r="A129" s="42">
        <v>325</v>
      </c>
      <c r="B129" s="109" t="s">
        <v>268</v>
      </c>
      <c r="C129" s="44"/>
      <c r="D129" s="28"/>
      <c r="E129" s="28"/>
      <c r="F129" s="44"/>
      <c r="G129" s="44"/>
      <c r="H129" s="28">
        <v>25000</v>
      </c>
      <c r="I129" s="28"/>
      <c r="J129" s="44"/>
      <c r="K129" s="44"/>
      <c r="L129" s="28">
        <f t="shared" si="16"/>
        <v>25000</v>
      </c>
      <c r="M129" s="28">
        <v>11490</v>
      </c>
      <c r="N129" s="28">
        <f t="shared" si="15"/>
        <v>13510</v>
      </c>
      <c r="O129" s="38">
        <f>M129/$M$142</f>
        <v>2.4116902725247369E-3</v>
      </c>
    </row>
    <row r="130" spans="1:15" ht="15.95" customHeight="1" x14ac:dyDescent="0.2">
      <c r="A130" s="42" t="s">
        <v>216</v>
      </c>
      <c r="B130" s="109" t="s">
        <v>217</v>
      </c>
      <c r="C130" s="44">
        <v>1500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6"/>
        <v>1500</v>
      </c>
      <c r="M130" s="28"/>
      <c r="N130" s="28">
        <f t="shared" si="15"/>
        <v>1500</v>
      </c>
      <c r="O130" s="38">
        <f>M130/$M$142</f>
        <v>0</v>
      </c>
    </row>
    <row r="131" spans="1:15" ht="15.95" customHeight="1" x14ac:dyDescent="0.2">
      <c r="A131" s="42">
        <v>328</v>
      </c>
      <c r="B131" s="109" t="s">
        <v>234</v>
      </c>
      <c r="C131" s="44">
        <v>40000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6"/>
        <v>40000</v>
      </c>
      <c r="M131" s="28">
        <v>4670</v>
      </c>
      <c r="N131" s="28">
        <f t="shared" si="15"/>
        <v>35330</v>
      </c>
      <c r="O131" s="38">
        <f>+M131/M142</f>
        <v>9.802083179016991E-4</v>
      </c>
    </row>
    <row r="132" spans="1:15" ht="15.95" customHeight="1" x14ac:dyDescent="0.2">
      <c r="A132" s="42" t="s">
        <v>218</v>
      </c>
      <c r="B132" s="109" t="s">
        <v>219</v>
      </c>
      <c r="C132" s="44">
        <v>14300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si="16"/>
        <v>14300</v>
      </c>
      <c r="M132" s="28"/>
      <c r="N132" s="28">
        <f t="shared" si="15"/>
        <v>14300</v>
      </c>
      <c r="O132" s="38">
        <f>M132/$M$142</f>
        <v>0</v>
      </c>
    </row>
    <row r="133" spans="1:15" ht="15.95" hidden="1" customHeight="1" x14ac:dyDescent="0.2">
      <c r="A133" s="42" t="s">
        <v>220</v>
      </c>
      <c r="B133" s="109" t="s">
        <v>221</v>
      </c>
      <c r="C133" s="44">
        <v>0</v>
      </c>
      <c r="D133" s="28"/>
      <c r="E133" s="28"/>
      <c r="F133" s="44"/>
      <c r="G133" s="44"/>
      <c r="H133" s="28"/>
      <c r="I133" s="28"/>
      <c r="J133" s="44"/>
      <c r="K133" s="44"/>
      <c r="L133" s="28">
        <f t="shared" ref="L133" si="17">C133+D133-E133+F133-G133+J133-K133</f>
        <v>0</v>
      </c>
      <c r="M133" s="28"/>
      <c r="N133" s="28">
        <f t="shared" si="15"/>
        <v>0</v>
      </c>
      <c r="O133" s="38">
        <f>M133/$M$142</f>
        <v>0</v>
      </c>
    </row>
    <row r="134" spans="1:15" ht="15.95" customHeight="1" x14ac:dyDescent="0.2">
      <c r="A134" s="42"/>
      <c r="B134" s="109"/>
      <c r="C134" s="44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">
      <c r="A135" s="41"/>
      <c r="B135" s="100"/>
      <c r="C135" s="28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5">
      <c r="A136" s="39">
        <v>4</v>
      </c>
      <c r="B136" s="108" t="s">
        <v>81</v>
      </c>
      <c r="C136" s="26"/>
      <c r="D136" s="28"/>
      <c r="E136" s="28"/>
      <c r="F136" s="44"/>
      <c r="G136" s="44"/>
      <c r="H136" s="28"/>
      <c r="I136" s="28"/>
      <c r="J136" s="44"/>
      <c r="K136" s="44"/>
      <c r="L136" s="28"/>
      <c r="M136" s="28"/>
      <c r="N136" s="28"/>
      <c r="O136" s="38"/>
    </row>
    <row r="137" spans="1:15" ht="15.95" customHeight="1" x14ac:dyDescent="0.2">
      <c r="A137" s="41" t="s">
        <v>222</v>
      </c>
      <c r="B137" s="100" t="s">
        <v>82</v>
      </c>
      <c r="C137" s="28">
        <v>185900</v>
      </c>
      <c r="D137" s="28"/>
      <c r="E137" s="28"/>
      <c r="F137" s="44"/>
      <c r="G137" s="44"/>
      <c r="H137" s="28"/>
      <c r="I137" s="28"/>
      <c r="J137" s="44"/>
      <c r="K137" s="44"/>
      <c r="L137" s="28">
        <f t="shared" ref="L137:L138" si="18">C137+D137-E137+F137-G137+H137+J137-K137</f>
        <v>185900</v>
      </c>
      <c r="M137" s="28"/>
      <c r="N137" s="28">
        <f t="shared" si="15"/>
        <v>185900</v>
      </c>
      <c r="O137" s="38">
        <f>M137/$M$142</f>
        <v>0</v>
      </c>
    </row>
    <row r="138" spans="1:15" ht="15.95" customHeight="1" x14ac:dyDescent="0.2">
      <c r="A138" s="41" t="s">
        <v>223</v>
      </c>
      <c r="B138" s="100" t="s">
        <v>224</v>
      </c>
      <c r="C138" s="28">
        <v>7170</v>
      </c>
      <c r="D138" s="28"/>
      <c r="E138" s="28"/>
      <c r="F138" s="28"/>
      <c r="G138" s="28"/>
      <c r="H138" s="28"/>
      <c r="I138" s="28"/>
      <c r="J138" s="44"/>
      <c r="K138" s="44"/>
      <c r="L138" s="28">
        <f t="shared" si="18"/>
        <v>7170</v>
      </c>
      <c r="M138" s="28"/>
      <c r="N138" s="28">
        <f t="shared" si="15"/>
        <v>7170</v>
      </c>
      <c r="O138" s="38">
        <f>M138/$M$142</f>
        <v>0</v>
      </c>
    </row>
    <row r="139" spans="1:15" ht="15.95" customHeight="1" x14ac:dyDescent="0.2">
      <c r="A139" s="41" t="s">
        <v>225</v>
      </c>
      <c r="B139" s="100" t="s">
        <v>226</v>
      </c>
      <c r="C139" s="28">
        <v>70000</v>
      </c>
      <c r="D139" s="28"/>
      <c r="E139" s="28"/>
      <c r="F139" s="28"/>
      <c r="G139" s="28"/>
      <c r="H139" s="28"/>
      <c r="I139" s="28"/>
      <c r="J139" s="44"/>
      <c r="K139" s="44"/>
      <c r="L139" s="28">
        <f>C139+D139-E139+F139-G139+H139+J139-K139</f>
        <v>70000</v>
      </c>
      <c r="M139" s="28">
        <v>500</v>
      </c>
      <c r="N139" s="28">
        <f t="shared" si="15"/>
        <v>69500</v>
      </c>
      <c r="O139" s="38">
        <f>M139/$M$142</f>
        <v>1.0494735737705557E-4</v>
      </c>
    </row>
    <row r="140" spans="1:15" ht="32.25" customHeight="1" x14ac:dyDescent="0.2">
      <c r="A140" s="41">
        <v>453</v>
      </c>
      <c r="B140" s="100" t="s">
        <v>264</v>
      </c>
      <c r="C140" s="28">
        <v>0</v>
      </c>
      <c r="D140" s="28"/>
      <c r="E140" s="28"/>
      <c r="F140" s="28">
        <v>120000</v>
      </c>
      <c r="G140" s="28"/>
      <c r="H140" s="28"/>
      <c r="I140" s="28"/>
      <c r="J140" s="44"/>
      <c r="K140" s="44"/>
      <c r="L140" s="28">
        <f>C140+D140-E140+F140-G140+H140+J140-K140</f>
        <v>120000</v>
      </c>
      <c r="M140" s="28">
        <v>118168.58</v>
      </c>
      <c r="N140" s="28">
        <f t="shared" si="15"/>
        <v>1831.4199999999983</v>
      </c>
      <c r="O140" s="38"/>
    </row>
    <row r="141" spans="1:15" ht="33" customHeight="1" thickBot="1" x14ac:dyDescent="0.25">
      <c r="A141" s="41" t="s">
        <v>227</v>
      </c>
      <c r="B141" s="100" t="s">
        <v>228</v>
      </c>
      <c r="C141" s="28">
        <v>8750</v>
      </c>
      <c r="D141" s="28"/>
      <c r="E141" s="28"/>
      <c r="F141" s="28"/>
      <c r="G141" s="28"/>
      <c r="H141" s="28"/>
      <c r="I141" s="28"/>
      <c r="J141" s="44"/>
      <c r="K141" s="44"/>
      <c r="L141" s="28">
        <f t="shared" ref="L141" si="19">C141+D141-E141+F141-G141+H141+J141-K141</f>
        <v>8750</v>
      </c>
      <c r="M141" s="28"/>
      <c r="N141" s="28">
        <f t="shared" si="15"/>
        <v>8750</v>
      </c>
      <c r="O141" s="38">
        <f>M141/$M$142</f>
        <v>0</v>
      </c>
    </row>
    <row r="142" spans="1:15" ht="18" customHeight="1" thickBot="1" x14ac:dyDescent="0.3">
      <c r="A142" s="32"/>
      <c r="B142" s="106" t="s">
        <v>90</v>
      </c>
      <c r="C142" s="34">
        <f t="shared" ref="C142:N142" si="20">SUM(C31:C141)</f>
        <v>8258523.6200000001</v>
      </c>
      <c r="D142" s="34">
        <f t="shared" si="20"/>
        <v>0</v>
      </c>
      <c r="E142" s="34">
        <f t="shared" si="20"/>
        <v>0</v>
      </c>
      <c r="F142" s="34">
        <f t="shared" si="20"/>
        <v>584600</v>
      </c>
      <c r="G142" s="34">
        <f t="shared" si="20"/>
        <v>584600</v>
      </c>
      <c r="H142" s="34">
        <f t="shared" si="20"/>
        <v>2655496.71</v>
      </c>
      <c r="I142" s="34">
        <f t="shared" si="20"/>
        <v>0</v>
      </c>
      <c r="J142" s="64">
        <f t="shared" si="20"/>
        <v>137000</v>
      </c>
      <c r="K142" s="64">
        <f t="shared" si="20"/>
        <v>137000</v>
      </c>
      <c r="L142" s="34">
        <f>SUM(L31:L141)</f>
        <v>10914020.33</v>
      </c>
      <c r="M142" s="34">
        <f>SUM(M31:M141)</f>
        <v>4764293.38</v>
      </c>
      <c r="N142" s="34">
        <f t="shared" si="20"/>
        <v>6149726.9500000002</v>
      </c>
      <c r="O142" s="45">
        <v>1</v>
      </c>
    </row>
    <row r="143" spans="1:15" x14ac:dyDescent="0.2">
      <c r="A143" s="46"/>
      <c r="B143" s="110"/>
      <c r="C143" s="77"/>
      <c r="D143" s="76"/>
      <c r="E143" s="47"/>
      <c r="F143" s="47"/>
      <c r="G143" s="47"/>
      <c r="H143" s="47"/>
      <c r="I143" s="47"/>
      <c r="J143" s="65"/>
      <c r="K143" s="65"/>
      <c r="L143" s="47"/>
      <c r="M143" s="47"/>
      <c r="N143" s="47"/>
    </row>
    <row r="144" spans="1:15" ht="15.75" thickBot="1" x14ac:dyDescent="0.25">
      <c r="E144" s="12"/>
      <c r="F144" s="4"/>
      <c r="L144" s="14"/>
      <c r="M144" s="4"/>
    </row>
    <row r="145" spans="1:13" ht="15.75" x14ac:dyDescent="0.25">
      <c r="A145" s="1" t="s">
        <v>83</v>
      </c>
      <c r="B145" s="112"/>
      <c r="C145" s="3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15.75" x14ac:dyDescent="0.25">
      <c r="A146" s="5" t="s">
        <v>2</v>
      </c>
      <c r="B146" s="101"/>
      <c r="C146" s="7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5.0999999999999996" customHeight="1" thickBot="1" x14ac:dyDescent="0.25">
      <c r="A147" s="8"/>
      <c r="B147" s="113"/>
      <c r="C147" s="1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ht="6.95" customHeight="1" x14ac:dyDescent="0.2">
      <c r="A148" s="48"/>
      <c r="B148" s="114"/>
      <c r="C148" s="50"/>
      <c r="D148" s="4"/>
      <c r="E148" s="4"/>
      <c r="F148" s="4"/>
      <c r="G148" s="4"/>
      <c r="H148" s="4"/>
      <c r="I148" s="4"/>
      <c r="J148" s="66"/>
      <c r="K148" s="66"/>
      <c r="L148" s="4"/>
      <c r="M148" s="4"/>
    </row>
    <row r="149" spans="1:13" x14ac:dyDescent="0.2">
      <c r="A149" s="51" t="s">
        <v>84</v>
      </c>
      <c r="B149" s="115"/>
      <c r="C149" s="53"/>
      <c r="D149" s="4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257</v>
      </c>
      <c r="B150" s="115"/>
      <c r="C150" s="69">
        <v>1808838.07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258</v>
      </c>
      <c r="B151" s="115"/>
      <c r="C151" s="69">
        <v>-22528.77</v>
      </c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54" t="s">
        <v>249</v>
      </c>
      <c r="B152" s="115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239</v>
      </c>
      <c r="B153" s="115"/>
      <c r="C153" s="69"/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83" t="s">
        <v>259</v>
      </c>
      <c r="B154" s="115"/>
      <c r="C154" s="69">
        <f>1174639.32+309594.02-600</f>
        <v>1483633.34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85</v>
      </c>
      <c r="B155" s="115"/>
      <c r="C155" s="69">
        <f>M26+750</f>
        <v>4725849.74</v>
      </c>
      <c r="D155" s="47"/>
      <c r="E155" s="4"/>
      <c r="F155" s="4"/>
      <c r="G155" s="4"/>
      <c r="H155" s="4"/>
      <c r="I155" s="4"/>
      <c r="J155" s="66"/>
      <c r="K155" s="66"/>
      <c r="L155" s="4"/>
    </row>
    <row r="156" spans="1:13" x14ac:dyDescent="0.2">
      <c r="A156" s="54" t="s">
        <v>86</v>
      </c>
      <c r="B156" s="115"/>
      <c r="C156" s="70">
        <f>-M142</f>
        <v>-4764293.38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 t="s">
        <v>87</v>
      </c>
      <c r="B157" s="116"/>
      <c r="C157" s="71">
        <f>SUM(C150:C156)</f>
        <v>3231499.0000000009</v>
      </c>
      <c r="D157" s="4"/>
      <c r="E157" s="4"/>
      <c r="F157" s="4"/>
      <c r="G157" s="4"/>
      <c r="H157" s="4"/>
      <c r="I157" s="4"/>
      <c r="J157" s="66"/>
      <c r="K157" s="66"/>
      <c r="L157" s="4"/>
    </row>
    <row r="158" spans="1:13" ht="15.75" x14ac:dyDescent="0.25">
      <c r="A158" s="55"/>
      <c r="B158" s="116"/>
      <c r="C158" s="71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x14ac:dyDescent="0.2">
      <c r="A159" s="51" t="s">
        <v>88</v>
      </c>
      <c r="B159" s="115"/>
      <c r="C159" s="69"/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147</v>
      </c>
      <c r="B160" s="115"/>
      <c r="C160" s="69">
        <v>276.89999999999998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241</v>
      </c>
      <c r="B161" s="115"/>
      <c r="C161" s="69">
        <v>825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ht="12" customHeight="1" x14ac:dyDescent="0.2">
      <c r="A162" s="54" t="s">
        <v>248</v>
      </c>
      <c r="B162" s="115"/>
      <c r="C162" s="69">
        <v>8001.75</v>
      </c>
      <c r="D162" s="4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150</v>
      </c>
      <c r="B163" s="115"/>
      <c r="C163" s="69">
        <f>11547.98-0.01</f>
        <v>11547.97</v>
      </c>
      <c r="D163" s="79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149</v>
      </c>
      <c r="B164" s="115"/>
      <c r="C164" s="69">
        <v>2354.9899999999998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148</v>
      </c>
      <c r="B165" s="115"/>
      <c r="C165" s="69">
        <v>12627.25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 t="s">
        <v>253</v>
      </c>
      <c r="B166" s="115"/>
      <c r="C166" s="69">
        <f>191.14+163.24+150</f>
        <v>504.38</v>
      </c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115"/>
      <c r="C167" s="69"/>
      <c r="D167" s="80"/>
      <c r="E167" s="4"/>
      <c r="F167" s="4"/>
      <c r="G167" s="4"/>
      <c r="H167" s="4"/>
      <c r="I167" s="4"/>
      <c r="J167" s="66"/>
      <c r="K167" s="66"/>
      <c r="L167" s="4"/>
    </row>
    <row r="168" spans="1:13" x14ac:dyDescent="0.2">
      <c r="A168" s="54"/>
      <c r="B168" s="115"/>
      <c r="C168" s="70"/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15.75" x14ac:dyDescent="0.25">
      <c r="A169" s="55"/>
      <c r="B169" s="116"/>
      <c r="C169" s="71">
        <f>SUM(C160:C168)</f>
        <v>36138.239999999998</v>
      </c>
      <c r="D169" s="81"/>
      <c r="E169" s="82"/>
      <c r="F169" s="4"/>
      <c r="G169" s="4"/>
      <c r="H169" s="4"/>
      <c r="I169" s="4"/>
      <c r="J169" s="66"/>
      <c r="K169" s="66"/>
      <c r="L169" s="4"/>
    </row>
    <row r="170" spans="1:13" ht="2.1" customHeight="1" x14ac:dyDescent="0.25">
      <c r="A170" s="55"/>
      <c r="B170" s="116"/>
      <c r="C170" s="72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x14ac:dyDescent="0.2">
      <c r="A171" s="54"/>
      <c r="B171" s="115"/>
      <c r="C171" s="69"/>
      <c r="D171" s="80"/>
      <c r="E171" s="4"/>
      <c r="F171" s="4"/>
      <c r="G171" s="4"/>
      <c r="H171" s="4"/>
      <c r="I171" s="4"/>
      <c r="J171" s="66"/>
      <c r="K171" s="66"/>
      <c r="L171" s="4"/>
    </row>
    <row r="172" spans="1:13" ht="2.1" customHeight="1" thickBot="1" x14ac:dyDescent="0.3">
      <c r="A172" s="57" t="s">
        <v>238</v>
      </c>
      <c r="B172" s="117"/>
      <c r="C172" s="68">
        <f>C157+C169</f>
        <v>3267637.2400000012</v>
      </c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9.9499999999999993" customHeight="1" x14ac:dyDescent="0.2">
      <c r="A173" s="54"/>
      <c r="B173" s="115"/>
      <c r="C173" s="69"/>
      <c r="D173" s="79"/>
      <c r="E173" s="4"/>
      <c r="F173" s="4"/>
      <c r="G173" s="4"/>
      <c r="H173" s="4"/>
      <c r="I173" s="4"/>
      <c r="J173" s="66"/>
      <c r="K173" s="66"/>
      <c r="L173" s="4"/>
    </row>
    <row r="174" spans="1:13" ht="16.5" thickBot="1" x14ac:dyDescent="0.3">
      <c r="A174" s="57" t="s">
        <v>271</v>
      </c>
      <c r="B174" s="117"/>
      <c r="C174" s="68">
        <f>C157+C169</f>
        <v>3267637.2400000012</v>
      </c>
      <c r="D174" s="81"/>
      <c r="E174" s="4"/>
      <c r="F174" s="4"/>
      <c r="G174" s="4"/>
      <c r="H174" s="4"/>
      <c r="I174" s="4"/>
      <c r="J174" s="66"/>
      <c r="K174" s="66"/>
      <c r="L174" s="4"/>
      <c r="M174" s="4"/>
    </row>
    <row r="175" spans="1:13" x14ac:dyDescent="0.2">
      <c r="A175" s="52"/>
      <c r="B175" s="118"/>
      <c r="C175" s="4"/>
      <c r="D175" s="4"/>
      <c r="E175" s="4"/>
      <c r="F175" s="4"/>
      <c r="G175" s="4"/>
      <c r="H175" s="4"/>
      <c r="I175" s="4"/>
      <c r="J175" s="66"/>
      <c r="K175" s="66"/>
      <c r="L175" s="4"/>
    </row>
    <row r="176" spans="1:13" x14ac:dyDescent="0.2">
      <c r="B176" s="118"/>
      <c r="C176" s="87"/>
      <c r="D176" s="4"/>
      <c r="E176" s="4"/>
    </row>
    <row r="177" spans="2:12" x14ac:dyDescent="0.2">
      <c r="C177" s="13"/>
      <c r="D177" s="4"/>
    </row>
    <row r="178" spans="2:12" x14ac:dyDescent="0.2">
      <c r="C178" s="13"/>
      <c r="D178" s="4"/>
    </row>
    <row r="179" spans="2:12" x14ac:dyDescent="0.2">
      <c r="C179" s="14"/>
      <c r="D179" s="4"/>
      <c r="I179" s="4"/>
      <c r="K179" s="66"/>
      <c r="L179" s="4"/>
    </row>
    <row r="180" spans="2:12" x14ac:dyDescent="0.2">
      <c r="C180" s="14"/>
      <c r="D180" s="4"/>
      <c r="I180" s="4"/>
      <c r="K180" s="66"/>
      <c r="L180" s="4"/>
    </row>
    <row r="181" spans="2:12" x14ac:dyDescent="0.2">
      <c r="C181" s="14"/>
      <c r="D181" s="4"/>
      <c r="I181" s="4"/>
      <c r="K181" s="66"/>
      <c r="L181" s="4"/>
    </row>
    <row r="182" spans="2:12" x14ac:dyDescent="0.2">
      <c r="C182" s="14"/>
      <c r="D182" s="4"/>
    </row>
    <row r="183" spans="2:12" x14ac:dyDescent="0.2">
      <c r="C183" s="14"/>
      <c r="D183" s="4"/>
    </row>
    <row r="184" spans="2:12" x14ac:dyDescent="0.2">
      <c r="C184" s="14"/>
      <c r="D184" s="4"/>
    </row>
    <row r="185" spans="2:12" x14ac:dyDescent="0.2">
      <c r="C185" s="14"/>
      <c r="D185" s="4"/>
    </row>
    <row r="186" spans="2:12" x14ac:dyDescent="0.2">
      <c r="D186" s="4"/>
    </row>
    <row r="187" spans="2:12" x14ac:dyDescent="0.2">
      <c r="D187" s="4"/>
    </row>
    <row r="188" spans="2:12" x14ac:dyDescent="0.2">
      <c r="B188" s="119" t="s">
        <v>254</v>
      </c>
      <c r="C188" s="85" t="s">
        <v>255</v>
      </c>
      <c r="E188" s="85"/>
      <c r="G188" s="84" t="s">
        <v>260</v>
      </c>
      <c r="J188" s="85" t="s">
        <v>252</v>
      </c>
      <c r="K188" s="74"/>
    </row>
    <row r="189" spans="2:12" x14ac:dyDescent="0.2">
      <c r="B189" s="119" t="s">
        <v>89</v>
      </c>
      <c r="C189" s="85" t="s">
        <v>261</v>
      </c>
      <c r="E189" s="85"/>
      <c r="G189" s="84" t="s">
        <v>247</v>
      </c>
      <c r="J189" s="84" t="s">
        <v>242</v>
      </c>
    </row>
    <row r="193" spans="7:12" x14ac:dyDescent="0.2">
      <c r="I193" s="4"/>
      <c r="K193" s="66"/>
      <c r="L193" s="4"/>
    </row>
    <row r="194" spans="7:12" x14ac:dyDescent="0.2">
      <c r="I194" s="4"/>
      <c r="K194" s="66"/>
      <c r="L194" s="4"/>
    </row>
    <row r="195" spans="7:12" x14ac:dyDescent="0.2">
      <c r="G195" s="59"/>
      <c r="I195" s="59"/>
      <c r="K195" s="67"/>
      <c r="L195" s="4"/>
    </row>
    <row r="196" spans="7:12" x14ac:dyDescent="0.2">
      <c r="G196" s="59"/>
      <c r="I196" s="59"/>
      <c r="K196" s="67"/>
      <c r="L196" s="4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  <c r="L200" s="4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fitToHeight="0" orientation="landscape" horizontalDpi="4294967293" verticalDpi="360" r:id="rId1"/>
  <rowBreaks count="2" manualBreakCount="2">
    <brk id="56" max="16383" man="1"/>
    <brk id="121" max="16383" man="1"/>
  </rowBreaks>
  <ignoredErrors>
    <ignoredError sqref="L20 M26 L35 L12 L5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67979-A214-41B9-93F0-E50172F4F18D}">
  <dimension ref="A1:R212"/>
  <sheetViews>
    <sheetView topLeftCell="A173" zoomScaleNormal="100" workbookViewId="0">
      <selection activeCell="I210" sqref="I210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" width="11.42578125" style="11"/>
    <col min="17" max="17" width="13.5703125" style="11" bestFit="1" customWidth="1"/>
    <col min="18" max="18" width="14.140625" style="11" bestFit="1" customWidth="1"/>
    <col min="19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 t="shared" ref="L10:L22" si="0">C10+D10-E10+F10-G10+J10-K10</f>
        <v>37000</v>
      </c>
      <c r="M10" s="28">
        <f>11600+4601+400+1200+1000+3200+1200</f>
        <v>23201</v>
      </c>
      <c r="N10" s="28">
        <f t="shared" ref="N10:N22" si="1">L10-M10</f>
        <v>13799</v>
      </c>
      <c r="O10" s="27">
        <f>M10/$M$26</f>
        <v>4.4589707520846667E-3</v>
      </c>
    </row>
    <row r="11" spans="1:15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 t="shared" si="0"/>
        <v>0</v>
      </c>
      <c r="M11" s="28"/>
      <c r="N11" s="28">
        <v>0</v>
      </c>
      <c r="O11" s="27"/>
    </row>
    <row r="12" spans="1:15" ht="31.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f>0.41+2100+8580</f>
        <v>10680.41</v>
      </c>
      <c r="N12" s="28">
        <f t="shared" si="1"/>
        <v>19819.59</v>
      </c>
      <c r="O12" s="27">
        <f>M12/$M$26</f>
        <v>2.0526544463718203E-3</v>
      </c>
    </row>
    <row r="13" spans="1:15" ht="31.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 t="shared" si="0"/>
        <v>3500</v>
      </c>
      <c r="M13" s="28"/>
      <c r="N13" s="28">
        <f t="shared" si="1"/>
        <v>3500</v>
      </c>
      <c r="O13" s="27">
        <f>M13/$M$26</f>
        <v>0</v>
      </c>
    </row>
    <row r="14" spans="1:15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722.57+661.17+900.19+486.53+213.8+380.65+2131.27</f>
        <v>5496.18</v>
      </c>
      <c r="N15" s="28">
        <f t="shared" si="1"/>
        <v>3303.8199999999997</v>
      </c>
      <c r="O15" s="27">
        <f>M15/$M$26</f>
        <v>1.0563038605315592E-3</v>
      </c>
    </row>
    <row r="16" spans="1:15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8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8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28">
        <f>C18+D18-E18+F18-G18+H18-I18+J18-I18-K18</f>
        <v>3968096.55</v>
      </c>
      <c r="M18" s="28">
        <f>249714.95+226495.4+345713.01+485074.38+299450.28+275080.68+364285.79</f>
        <v>2245814.4899999998</v>
      </c>
      <c r="N18" s="28">
        <f t="shared" si="1"/>
        <v>1722282.06</v>
      </c>
      <c r="O18" s="27">
        <f>M18/$M$26</f>
        <v>0.43162023729657956</v>
      </c>
    </row>
    <row r="19" spans="1:18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 t="shared" si="0"/>
        <v>0</v>
      </c>
      <c r="M19" s="28"/>
      <c r="N19" s="28">
        <f t="shared" si="1"/>
        <v>0</v>
      </c>
      <c r="O19" s="27">
        <f>M19/$M$26</f>
        <v>0</v>
      </c>
    </row>
    <row r="20" spans="1:18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28">
        <f>C20+D20-E20+F20-G20+H20-I20+J20-K20</f>
        <v>4261525.5600000005</v>
      </c>
      <c r="M20" s="28">
        <f>1675317.32+161001.87+979785.53+101921.9</f>
        <v>2918026.6199999996</v>
      </c>
      <c r="N20" s="28">
        <f t="shared" si="1"/>
        <v>1343498.9400000009</v>
      </c>
      <c r="O20" s="27">
        <f>M20/$M$26</f>
        <v>0.56081183364443243</v>
      </c>
    </row>
    <row r="21" spans="1:18" ht="15.95" customHeight="1" x14ac:dyDescent="0.25">
      <c r="A21" s="29" t="s">
        <v>25</v>
      </c>
      <c r="B21" s="29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 t="shared" si="0"/>
        <v>20000</v>
      </c>
      <c r="M21" s="28"/>
      <c r="N21" s="28">
        <f t="shared" si="1"/>
        <v>20000</v>
      </c>
      <c r="O21" s="27">
        <f>M21/$M$26</f>
        <v>0</v>
      </c>
    </row>
    <row r="22" spans="1:18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 t="shared" si="0"/>
        <v>50000</v>
      </c>
      <c r="M22" s="28"/>
      <c r="N22" s="28">
        <f t="shared" si="1"/>
        <v>50000</v>
      </c>
      <c r="O22" s="27">
        <f>M22/$M$26</f>
        <v>0</v>
      </c>
    </row>
    <row r="23" spans="1:18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8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8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8" ht="18" customHeight="1" thickBot="1" x14ac:dyDescent="0.3">
      <c r="A26" s="32"/>
      <c r="B26" s="33" t="s">
        <v>32</v>
      </c>
      <c r="C26" s="34">
        <f>SUM(C9:C25)</f>
        <v>8258523.620000001</v>
      </c>
      <c r="D26" s="34">
        <f t="shared" ref="D26:N26" si="2">SUM(D9:D25)</f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si="2"/>
        <v>10914020.330000002</v>
      </c>
      <c r="M26" s="34">
        <f>SUM(M10:M25)</f>
        <v>5203218.6999999993</v>
      </c>
      <c r="N26" s="34">
        <f t="shared" si="2"/>
        <v>5710801.6300000008</v>
      </c>
      <c r="O26" s="27"/>
      <c r="Q26" s="11">
        <f>2610100.28-364285.79</f>
        <v>2245814.4899999998</v>
      </c>
      <c r="R26" s="11">
        <f>3267330.94-237956.93</f>
        <v>3029374.01</v>
      </c>
    </row>
    <row r="27" spans="1:18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  <c r="Q27" s="11">
        <f>SUM(Q26:R26)</f>
        <v>5275188.5</v>
      </c>
      <c r="R27" s="4">
        <f>+R26-M20</f>
        <v>111347.39000000013</v>
      </c>
    </row>
    <row r="28" spans="1:18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  <c r="Q28" s="14">
        <f>+M26-Q27</f>
        <v>-71969.800000000745</v>
      </c>
    </row>
    <row r="29" spans="1:18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8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8" ht="15.95" customHeight="1" x14ac:dyDescent="0.2">
      <c r="A31" s="41" t="s">
        <v>36</v>
      </c>
      <c r="B31" s="29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28">
        <f>C31+D31-E31+F31-G31+H31+J31-I31-K31</f>
        <v>846201.45000000007</v>
      </c>
      <c r="M31" s="28">
        <f>59982.77+68194.09+68194.09+68194.09+68194.09+68194.09+66556.88</f>
        <v>467510.1</v>
      </c>
      <c r="N31" s="28">
        <f t="shared" ref="N31:N101" si="3">L31-M31</f>
        <v>378691.35000000009</v>
      </c>
      <c r="O31" s="38">
        <f>M31/$M$142</f>
        <v>8.8552004396569808E-2</v>
      </c>
    </row>
    <row r="32" spans="1:18" ht="32.2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>C32+D32-E32+F32-G32+H32+J32-K32</f>
        <v>13700</v>
      </c>
      <c r="M32" s="28">
        <f>750+750+750+750+750+750+750</f>
        <v>5250</v>
      </c>
      <c r="N32" s="28">
        <f t="shared" si="3"/>
        <v>8450</v>
      </c>
      <c r="O32" s="38">
        <f>M32/$M$142</f>
        <v>9.9441279040172938E-4</v>
      </c>
    </row>
    <row r="33" spans="1:15" ht="31.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>C33+D33-E33+F33-G33+H33+J33-K33</f>
        <v>311100</v>
      </c>
      <c r="M33" s="28">
        <f>18899+21149+21149+21149+21149+21149+20477.33</f>
        <v>145121.33000000002</v>
      </c>
      <c r="N33" s="28">
        <f t="shared" si="3"/>
        <v>165978.66999999998</v>
      </c>
      <c r="O33" s="38">
        <f>M33/$M$142</f>
        <v>2.7487715564211472E-2</v>
      </c>
    </row>
    <row r="34" spans="1:15" ht="15.95" customHeight="1" x14ac:dyDescent="0.3">
      <c r="A34" s="41" t="s">
        <v>250</v>
      </c>
      <c r="B34" s="29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>C34+D34-E34+F34-G34+H34+J34-K34</f>
        <v>0</v>
      </c>
      <c r="M34" s="28"/>
      <c r="N34" s="28">
        <f t="shared" si="3"/>
        <v>0</v>
      </c>
      <c r="O34" s="38"/>
    </row>
    <row r="35" spans="1:15" ht="15.95" customHeight="1" x14ac:dyDescent="0.2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3"/>
        <v>15400</v>
      </c>
      <c r="O35" s="38">
        <f t="shared" ref="O35:O42" si="4">M35/$M$142</f>
        <v>0</v>
      </c>
    </row>
    <row r="36" spans="1:15" ht="15.95" customHeight="1" x14ac:dyDescent="0.2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28">
        <f t="shared" ref="L36:L42" si="5">C36+D36-E36+F36-G36+H36+J36-K36</f>
        <v>32500</v>
      </c>
      <c r="M36" s="28">
        <f>540+1620+1620+2340+2520+2160+2520</f>
        <v>13320</v>
      </c>
      <c r="N36" s="28">
        <f t="shared" si="3"/>
        <v>19180</v>
      </c>
      <c r="O36" s="38">
        <f t="shared" si="4"/>
        <v>2.5229673082192449E-3</v>
      </c>
    </row>
    <row r="37" spans="1:15" ht="15.95" customHeight="1" x14ac:dyDescent="0.2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5"/>
        <v>34510.800000000003</v>
      </c>
      <c r="M37" s="28">
        <f>818.04+1159.97+2178.62+1623.62+1501.35</f>
        <v>7281.6</v>
      </c>
      <c r="N37" s="28">
        <f t="shared" si="3"/>
        <v>27229.200000000004</v>
      </c>
      <c r="O37" s="38">
        <f t="shared" si="4"/>
        <v>1.3792221284931873E-3</v>
      </c>
    </row>
    <row r="38" spans="1:15" ht="15.95" customHeight="1" x14ac:dyDescent="0.2">
      <c r="A38" s="41" t="s">
        <v>42</v>
      </c>
      <c r="B38" s="29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28">
        <f t="shared" si="5"/>
        <v>115401.15</v>
      </c>
      <c r="M38" s="28">
        <f>6400.16+7276.31+7363.59+7400.08+7508.77+7449.55+7278.01</f>
        <v>50676.470000000008</v>
      </c>
      <c r="N38" s="28">
        <f t="shared" si="3"/>
        <v>64724.679999999986</v>
      </c>
      <c r="O38" s="38">
        <f t="shared" si="4"/>
        <v>9.5987295124589592E-3</v>
      </c>
    </row>
    <row r="39" spans="1:15" ht="15.95" customHeight="1" x14ac:dyDescent="0.2">
      <c r="A39" s="41" t="s">
        <v>43</v>
      </c>
      <c r="B39" s="29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5"/>
        <v>15190.84</v>
      </c>
      <c r="M39" s="28">
        <f>599.83+681.94+690.12+693.54+703.73+698.18+680.58</f>
        <v>4747.92</v>
      </c>
      <c r="N39" s="28">
        <f t="shared" si="3"/>
        <v>10442.92</v>
      </c>
      <c r="O39" s="38">
        <f t="shared" si="4"/>
        <v>8.9931283348651026E-4</v>
      </c>
    </row>
    <row r="40" spans="1:15" ht="15.95" customHeight="1" x14ac:dyDescent="0.2">
      <c r="A40" s="41" t="s">
        <v>44</v>
      </c>
      <c r="B40" s="29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28">
        <f t="shared" si="5"/>
        <v>75581.009999999995</v>
      </c>
      <c r="M40" s="28"/>
      <c r="N40" s="28">
        <f t="shared" si="3"/>
        <v>75581.009999999995</v>
      </c>
      <c r="O40" s="38">
        <f t="shared" si="4"/>
        <v>0</v>
      </c>
    </row>
    <row r="41" spans="1:15" ht="15.95" customHeight="1" x14ac:dyDescent="0.2">
      <c r="A41" s="41" t="s">
        <v>46</v>
      </c>
      <c r="B41" s="29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28">
        <f t="shared" si="5"/>
        <v>75581.009999999995</v>
      </c>
      <c r="M41" s="28">
        <v>62710.39</v>
      </c>
      <c r="N41" s="28">
        <f t="shared" si="3"/>
        <v>12870.619999999995</v>
      </c>
      <c r="O41" s="38">
        <f t="shared" si="4"/>
        <v>1.1878097887062991E-2</v>
      </c>
    </row>
    <row r="42" spans="1:15" ht="15.95" customHeight="1" x14ac:dyDescent="0.2">
      <c r="A42" s="41" t="s">
        <v>47</v>
      </c>
      <c r="B42" s="29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5"/>
        <v>5000</v>
      </c>
      <c r="M42" s="28"/>
      <c r="N42" s="28">
        <f t="shared" si="3"/>
        <v>5000</v>
      </c>
      <c r="O42" s="38">
        <f t="shared" si="4"/>
        <v>0</v>
      </c>
    </row>
    <row r="43" spans="1:15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29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40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29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>C46+D46-E46+F46-G46+H46+J46-K46</f>
        <v>13750</v>
      </c>
      <c r="M46" s="28">
        <f>346.37+964.95+1334.04+944.75+883.05+1335.08+1067.89</f>
        <v>6876.13</v>
      </c>
      <c r="N46" s="28">
        <f t="shared" si="3"/>
        <v>6873.87</v>
      </c>
      <c r="O46" s="38">
        <f t="shared" ref="O46:O55" si="6">M46/$M$142</f>
        <v>1.3024212610409608E-3</v>
      </c>
    </row>
    <row r="47" spans="1:15" ht="15.95" customHeight="1" x14ac:dyDescent="0.2">
      <c r="A47" s="41" t="s">
        <v>92</v>
      </c>
      <c r="B47" s="29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>C47+D47-E47+F47-G47+H47+J47-K47</f>
        <v>26100</v>
      </c>
      <c r="M47" s="28">
        <f>7409.06+619.68+618+618+625.84+699.26+90</f>
        <v>10679.840000000002</v>
      </c>
      <c r="N47" s="28">
        <f t="shared" si="3"/>
        <v>15420.159999999998</v>
      </c>
      <c r="O47" s="38">
        <f t="shared" si="6"/>
        <v>2.0228894277036203E-3</v>
      </c>
    </row>
    <row r="48" spans="1:15" ht="15.95" customHeight="1" x14ac:dyDescent="0.2">
      <c r="A48" s="41" t="s">
        <v>93</v>
      </c>
      <c r="B48" s="29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>C48+D48-E48+F48-G48+H48+J48-K48</f>
        <v>2000</v>
      </c>
      <c r="M48" s="28">
        <f>469.55+470.27+568.5</f>
        <v>1508.32</v>
      </c>
      <c r="N48" s="28">
        <f t="shared" si="3"/>
        <v>491.68000000000006</v>
      </c>
      <c r="O48" s="38">
        <f t="shared" si="6"/>
        <v>2.8569384762261647E-4</v>
      </c>
    </row>
    <row r="49" spans="1:15" ht="15.95" customHeight="1" x14ac:dyDescent="0.2">
      <c r="A49" s="41" t="s">
        <v>94</v>
      </c>
      <c r="B49" s="29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>C49+D49-E49+F49-G49+H49+J49-K49</f>
        <v>8000</v>
      </c>
      <c r="M49" s="28">
        <f>2040+1025</f>
        <v>3065</v>
      </c>
      <c r="N49" s="28">
        <f t="shared" si="3"/>
        <v>4935</v>
      </c>
      <c r="O49" s="38">
        <f t="shared" si="6"/>
        <v>5.8054765763453347E-4</v>
      </c>
    </row>
    <row r="50" spans="1:15" ht="15.95" customHeight="1" x14ac:dyDescent="0.2">
      <c r="A50" s="41" t="s">
        <v>95</v>
      </c>
      <c r="B50" s="29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295.35+1954+176.7+106.7+241.8+2572.6+116.4</f>
        <v>5463.5499999999993</v>
      </c>
      <c r="N50" s="28">
        <f t="shared" si="3"/>
        <v>8786.4500000000007</v>
      </c>
      <c r="O50" s="38">
        <f t="shared" si="6"/>
        <v>1.0348617144760701E-3</v>
      </c>
    </row>
    <row r="51" spans="1:15" ht="15.95" customHeight="1" x14ac:dyDescent="0.2">
      <c r="A51" s="41" t="s">
        <v>96</v>
      </c>
      <c r="B51" s="29" t="s">
        <v>161</v>
      </c>
      <c r="C51" s="28">
        <v>673088.47</v>
      </c>
      <c r="D51" s="28"/>
      <c r="E51" s="28"/>
      <c r="F51" s="44">
        <v>300000</v>
      </c>
      <c r="G51" s="44"/>
      <c r="H51" s="28">
        <v>1130902.48</v>
      </c>
      <c r="I51" s="28"/>
      <c r="J51" s="44"/>
      <c r="K51" s="44"/>
      <c r="L51" s="28">
        <f>C51+D51-E51+F51-G51+H51-I51+J51-K51</f>
        <v>2103990.9500000002</v>
      </c>
      <c r="M51" s="28">
        <f>52511.08+370815.32+121201.74+589744.16+223388.71+102865.5</f>
        <v>1460526.51</v>
      </c>
      <c r="N51" s="28">
        <f t="shared" si="3"/>
        <v>643464.44000000018</v>
      </c>
      <c r="O51" s="38">
        <f t="shared" si="6"/>
        <v>0.27664118900281892</v>
      </c>
    </row>
    <row r="52" spans="1:15" ht="15.95" customHeight="1" x14ac:dyDescent="0.2">
      <c r="A52" s="41" t="s">
        <v>97</v>
      </c>
      <c r="B52" s="29" t="s">
        <v>53</v>
      </c>
      <c r="C52" s="28">
        <v>563742.69999999995</v>
      </c>
      <c r="D52" s="28"/>
      <c r="E52" s="28"/>
      <c r="F52" s="44"/>
      <c r="G52" s="44">
        <v>300000</v>
      </c>
      <c r="H52" s="28">
        <v>293382.87</v>
      </c>
      <c r="I52" s="28"/>
      <c r="J52" s="44"/>
      <c r="K52" s="44"/>
      <c r="L52" s="28">
        <f>C52+D52-E52+F52-G52+H52+J52-K52</f>
        <v>557125.56999999995</v>
      </c>
      <c r="M52" s="28">
        <f>3740.5+87744.2+10441.24+13388.35+26181.25+2623.51+12650.39</f>
        <v>156769.44</v>
      </c>
      <c r="N52" s="28">
        <f t="shared" si="3"/>
        <v>400356.12999999995</v>
      </c>
      <c r="O52" s="38">
        <f t="shared" si="6"/>
        <v>2.969400691049838E-2</v>
      </c>
    </row>
    <row r="53" spans="1:15" ht="15.95" customHeight="1" x14ac:dyDescent="0.2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28">
        <f>C53+D53-E53+F53-G53+H53+J53-K53</f>
        <v>1319049.7</v>
      </c>
      <c r="M53" s="28">
        <f>48849.92+109313.99+1000+269983.68+113656.54+159346.92+28688.41</f>
        <v>730839.46000000008</v>
      </c>
      <c r="N53" s="28">
        <f t="shared" si="3"/>
        <v>588210.23999999987</v>
      </c>
      <c r="O53" s="38">
        <f t="shared" si="6"/>
        <v>0.13842973461986535</v>
      </c>
    </row>
    <row r="54" spans="1:15" ht="15.95" customHeight="1" x14ac:dyDescent="0.2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>
        <v>84616</v>
      </c>
      <c r="N54" s="28">
        <f t="shared" si="3"/>
        <v>140384</v>
      </c>
      <c r="O54" s="38">
        <f t="shared" si="6"/>
        <v>1.6027282413834807E-2</v>
      </c>
    </row>
    <row r="55" spans="1:15" ht="15.95" customHeight="1" x14ac:dyDescent="0.2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3"/>
        <v>75000</v>
      </c>
      <c r="O55" s="38">
        <f t="shared" si="6"/>
        <v>0</v>
      </c>
    </row>
    <row r="56" spans="1:15" ht="15.95" customHeight="1" x14ac:dyDescent="0.2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ref="L56:L63" si="7">C56+D56-E56+F56-G56+H56+J56-K56</f>
        <v>90000</v>
      </c>
      <c r="M56" s="28"/>
      <c r="N56" s="28">
        <f t="shared" si="3"/>
        <v>90000</v>
      </c>
      <c r="O56" s="38"/>
    </row>
    <row r="57" spans="1:15" ht="15.95" customHeight="1" x14ac:dyDescent="0.2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28">
        <f t="shared" si="7"/>
        <v>10400</v>
      </c>
      <c r="M57" s="28">
        <v>7600</v>
      </c>
      <c r="N57" s="28">
        <f t="shared" si="3"/>
        <v>2800</v>
      </c>
      <c r="O57" s="38">
        <f t="shared" ref="O57:O62" si="8">M57/$M$142</f>
        <v>1.439530896581551E-3</v>
      </c>
    </row>
    <row r="58" spans="1:15" ht="15.95" customHeight="1" x14ac:dyDescent="0.2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7"/>
        <v>3004.32</v>
      </c>
      <c r="M58" s="28"/>
      <c r="N58" s="28">
        <f t="shared" si="3"/>
        <v>3004.32</v>
      </c>
      <c r="O58" s="38">
        <f t="shared" si="8"/>
        <v>0</v>
      </c>
    </row>
    <row r="59" spans="1:15" ht="30.75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7"/>
        <v>7750</v>
      </c>
      <c r="M59" s="28"/>
      <c r="N59" s="28">
        <f t="shared" si="3"/>
        <v>7750</v>
      </c>
      <c r="O59" s="38">
        <f t="shared" si="8"/>
        <v>0</v>
      </c>
    </row>
    <row r="60" spans="1:15" ht="31.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7"/>
        <v>7000</v>
      </c>
      <c r="M60" s="28">
        <v>448</v>
      </c>
      <c r="N60" s="28">
        <f t="shared" si="3"/>
        <v>6552</v>
      </c>
      <c r="O60" s="38">
        <f t="shared" si="8"/>
        <v>8.4856558114280908E-5</v>
      </c>
    </row>
    <row r="61" spans="1:15" ht="31.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7"/>
        <v>14000</v>
      </c>
      <c r="M61" s="28">
        <v>450</v>
      </c>
      <c r="N61" s="28">
        <f t="shared" si="3"/>
        <v>13550</v>
      </c>
      <c r="O61" s="38">
        <f t="shared" si="8"/>
        <v>8.5235382034433947E-5</v>
      </c>
    </row>
    <row r="62" spans="1:15" ht="15.95" hidden="1" customHeight="1" x14ac:dyDescent="0.2">
      <c r="A62" s="41" t="s">
        <v>106</v>
      </c>
      <c r="B62" s="29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7"/>
        <v>0</v>
      </c>
      <c r="M62" s="28"/>
      <c r="N62" s="28">
        <f t="shared" si="3"/>
        <v>0</v>
      </c>
      <c r="O62" s="38">
        <f t="shared" si="8"/>
        <v>0</v>
      </c>
    </row>
    <row r="63" spans="1:15" ht="15.95" customHeight="1" x14ac:dyDescent="0.2">
      <c r="A63" s="41">
        <v>169</v>
      </c>
      <c r="B63" s="29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7"/>
        <v>15000</v>
      </c>
      <c r="M63" s="28"/>
      <c r="N63" s="28">
        <f t="shared" si="3"/>
        <v>15000</v>
      </c>
      <c r="O63" s="38"/>
    </row>
    <row r="64" spans="1:15" ht="15.95" customHeight="1" x14ac:dyDescent="0.2">
      <c r="A64" s="41">
        <v>171</v>
      </c>
      <c r="B64" s="29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28">
        <f>C64+D64-E64+F64-G64+H64+J64-I64-K64</f>
        <v>15000</v>
      </c>
      <c r="M64" s="28"/>
      <c r="N64" s="28">
        <f t="shared" si="3"/>
        <v>15000</v>
      </c>
      <c r="O64" s="38"/>
    </row>
    <row r="65" spans="1:15" ht="15.95" customHeight="1" x14ac:dyDescent="0.2">
      <c r="A65" s="41" t="s">
        <v>107</v>
      </c>
      <c r="B65" s="29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ref="L65:L72" si="9">C65+D65-E65+F65-G65+H65+J65-K65</f>
        <v>30750</v>
      </c>
      <c r="M65" s="28"/>
      <c r="N65" s="28">
        <f t="shared" si="3"/>
        <v>30750</v>
      </c>
      <c r="O65" s="38">
        <f>M65/$M$142</f>
        <v>0</v>
      </c>
    </row>
    <row r="66" spans="1:15" ht="32.25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28">
        <f t="shared" si="9"/>
        <v>20000</v>
      </c>
      <c r="M66" s="28">
        <v>4000</v>
      </c>
      <c r="N66" s="28">
        <f t="shared" si="3"/>
        <v>16000</v>
      </c>
      <c r="O66" s="38"/>
    </row>
    <row r="67" spans="1:15" ht="32.25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9"/>
        <v>260706.83</v>
      </c>
      <c r="M67" s="28"/>
      <c r="N67" s="28">
        <f t="shared" si="3"/>
        <v>260706.83</v>
      </c>
      <c r="O67" s="38">
        <f t="shared" ref="O67:O81" si="10">M67/$M$142</f>
        <v>0</v>
      </c>
    </row>
    <row r="68" spans="1:15" ht="15.95" customHeight="1" x14ac:dyDescent="0.2">
      <c r="A68" s="41">
        <v>182</v>
      </c>
      <c r="B68" s="29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9"/>
        <v>10000</v>
      </c>
      <c r="M68" s="28"/>
      <c r="N68" s="28">
        <f t="shared" si="3"/>
        <v>10000</v>
      </c>
      <c r="O68" s="38">
        <f t="shared" si="10"/>
        <v>0</v>
      </c>
    </row>
    <row r="69" spans="1:15" ht="15.95" customHeight="1" x14ac:dyDescent="0.2">
      <c r="A69" s="41" t="s">
        <v>109</v>
      </c>
      <c r="B69" s="29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28">
        <f t="shared" si="9"/>
        <v>60000</v>
      </c>
      <c r="M69" s="28">
        <f>1018.44+4158+8307</f>
        <v>13483.44</v>
      </c>
      <c r="N69" s="28">
        <f t="shared" si="3"/>
        <v>46516.56</v>
      </c>
      <c r="O69" s="38">
        <f t="shared" si="10"/>
        <v>2.5539247989741515E-3</v>
      </c>
    </row>
    <row r="70" spans="1:15" ht="30.75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28">
        <f t="shared" si="9"/>
        <v>144000</v>
      </c>
      <c r="M70" s="28">
        <f>4500+4500+4500+4500+4500+4500+4500</f>
        <v>31500</v>
      </c>
      <c r="N70" s="28">
        <f t="shared" si="3"/>
        <v>112500</v>
      </c>
      <c r="O70" s="38">
        <f t="shared" si="10"/>
        <v>5.9664767424103763E-3</v>
      </c>
    </row>
    <row r="71" spans="1:15" ht="15.95" customHeight="1" x14ac:dyDescent="0.2">
      <c r="A71" s="41" t="s">
        <v>111</v>
      </c>
      <c r="B71" s="29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28">
        <f t="shared" si="9"/>
        <v>9500</v>
      </c>
      <c r="M71" s="28">
        <f>235.2+352.8+117.6+117.6+117.6</f>
        <v>940.80000000000007</v>
      </c>
      <c r="N71" s="28">
        <f t="shared" si="3"/>
        <v>8559.2000000000007</v>
      </c>
      <c r="O71" s="38">
        <f t="shared" si="10"/>
        <v>1.7819877203998993E-4</v>
      </c>
    </row>
    <row r="72" spans="1:15" ht="32.25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9"/>
        <v>24540</v>
      </c>
      <c r="M72" s="28"/>
      <c r="N72" s="28">
        <f t="shared" si="3"/>
        <v>24540</v>
      </c>
      <c r="O72" s="38">
        <f t="shared" si="10"/>
        <v>0</v>
      </c>
    </row>
    <row r="73" spans="1:15" ht="15.95" customHeight="1" x14ac:dyDescent="0.2">
      <c r="A73" s="41" t="s">
        <v>113</v>
      </c>
      <c r="B73" s="29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28">
        <f>C73+D73-E73+F73-G73+H73-I73+J73-K73</f>
        <v>963300</v>
      </c>
      <c r="M73" s="28">
        <f>93776.76+70259.49+71194.06+140236.56+23297.97+74682.96+162912.15</f>
        <v>636359.94999999995</v>
      </c>
      <c r="N73" s="28">
        <f t="shared" si="3"/>
        <v>326940.05000000005</v>
      </c>
      <c r="O73" s="38">
        <f t="shared" si="10"/>
        <v>0.12053418544369618</v>
      </c>
    </row>
    <row r="74" spans="1:15" ht="15.95" customHeight="1" x14ac:dyDescent="0.2">
      <c r="A74" s="41" t="s">
        <v>114</v>
      </c>
      <c r="B74" s="29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>C74+D74-E74+F74-G74+H74+J74-K74</f>
        <v>8000</v>
      </c>
      <c r="M74" s="28"/>
      <c r="N74" s="28">
        <f t="shared" si="3"/>
        <v>8000</v>
      </c>
      <c r="O74" s="38">
        <f t="shared" si="10"/>
        <v>0</v>
      </c>
    </row>
    <row r="75" spans="1:15" ht="15.95" customHeight="1" x14ac:dyDescent="0.2">
      <c r="A75" s="41" t="s">
        <v>115</v>
      </c>
      <c r="B75" s="29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28">
        <f>C75+D75-E75+F75-G75+H75+J75-I75-K75</f>
        <v>130000</v>
      </c>
      <c r="M75" s="28"/>
      <c r="N75" s="28">
        <f t="shared" si="3"/>
        <v>130000</v>
      </c>
      <c r="O75" s="38">
        <f t="shared" si="10"/>
        <v>0</v>
      </c>
    </row>
    <row r="76" spans="1:15" ht="15.95" customHeight="1" x14ac:dyDescent="0.2">
      <c r="A76" s="41" t="s">
        <v>116</v>
      </c>
      <c r="B76" s="29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>C76+D76-E76+F76-G76+H76+J76-K76</f>
        <v>8250</v>
      </c>
      <c r="M76" s="28">
        <f>911.4+353.71</f>
        <v>1265.1099999999999</v>
      </c>
      <c r="N76" s="28">
        <f t="shared" si="3"/>
        <v>6984.89</v>
      </c>
      <c r="O76" s="38">
        <f t="shared" si="10"/>
        <v>2.3962696481240605E-4</v>
      </c>
    </row>
    <row r="77" spans="1:15" ht="15.95" customHeight="1" x14ac:dyDescent="0.2">
      <c r="A77" s="41" t="s">
        <v>117</v>
      </c>
      <c r="B77" s="29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>C77+D77-E77+F77-G77+H77+J77-K77</f>
        <v>2500</v>
      </c>
      <c r="M77" s="28">
        <f>50+56.72+130.7+87.35+50.36+106.35+133.84</f>
        <v>615.32000000000005</v>
      </c>
      <c r="N77" s="28">
        <f t="shared" si="3"/>
        <v>1884.6799999999998</v>
      </c>
      <c r="O77" s="38">
        <f t="shared" si="10"/>
        <v>1.1654896727428422E-4</v>
      </c>
    </row>
    <row r="78" spans="1:15" ht="15.95" customHeight="1" x14ac:dyDescent="0.2">
      <c r="A78" s="41" t="s">
        <v>118</v>
      </c>
      <c r="B78" s="29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>C78+D78-E78+F78-G78+H78+J78-K78</f>
        <v>125000</v>
      </c>
      <c r="M78" s="28">
        <f>10+30+10.2+220+300.4</f>
        <v>570.59999999999991</v>
      </c>
      <c r="N78" s="28">
        <f t="shared" si="3"/>
        <v>124429.4</v>
      </c>
      <c r="O78" s="38">
        <f t="shared" si="10"/>
        <v>1.0807846441966222E-4</v>
      </c>
    </row>
    <row r="79" spans="1:15" ht="15.95" customHeight="1" x14ac:dyDescent="0.2">
      <c r="A79" s="41" t="s">
        <v>119</v>
      </c>
      <c r="B79" s="29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>C79+D79-E79+F79-G79+H79+J79-I79-K79</f>
        <v>50000</v>
      </c>
      <c r="M79" s="28"/>
      <c r="N79" s="28">
        <f t="shared" si="3"/>
        <v>50000</v>
      </c>
      <c r="O79" s="38">
        <f t="shared" si="10"/>
        <v>0</v>
      </c>
    </row>
    <row r="80" spans="1:15" ht="15.95" customHeight="1" x14ac:dyDescent="0.2">
      <c r="A80" s="41" t="s">
        <v>178</v>
      </c>
      <c r="B80" s="29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>C80+D80-E80+F80-G80+H80+J80-I80-K80</f>
        <v>46100</v>
      </c>
      <c r="M80" s="28"/>
      <c r="N80" s="28">
        <f t="shared" si="3"/>
        <v>46100</v>
      </c>
      <c r="O80" s="38">
        <f t="shared" si="10"/>
        <v>0</v>
      </c>
    </row>
    <row r="81" spans="1:15" ht="15.95" customHeight="1" x14ac:dyDescent="0.2">
      <c r="A81" s="41" t="s">
        <v>120</v>
      </c>
      <c r="B81" s="29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>C81+D81-E81+F81-G81+H81+J81-K81</f>
        <v>51000</v>
      </c>
      <c r="M81" s="28">
        <f>440+44+2062.32+170+625</f>
        <v>3341.32</v>
      </c>
      <c r="N81" s="28">
        <f t="shared" si="3"/>
        <v>47658.68</v>
      </c>
      <c r="O81" s="38">
        <f t="shared" si="10"/>
        <v>6.3288597044287745E-4</v>
      </c>
    </row>
    <row r="82" spans="1:15" ht="15.95" customHeight="1" x14ac:dyDescent="0.2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29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40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29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90" si="11">C85+D85-E85+F85-G85+H85+J85-K85</f>
        <v>146784.1</v>
      </c>
      <c r="M85" s="28">
        <f>2380.7+754.5+12765.2+1133.1+2185.25+2268.2+10204.15</f>
        <v>31691.1</v>
      </c>
      <c r="N85" s="28">
        <f t="shared" si="3"/>
        <v>115093</v>
      </c>
      <c r="O85" s="38">
        <f t="shared" ref="O85:O121" si="12">M85/$M$142</f>
        <v>6.002673367980999E-3</v>
      </c>
    </row>
    <row r="86" spans="1:15" ht="15.95" hidden="1" customHeight="1" x14ac:dyDescent="0.2">
      <c r="A86" s="41">
        <v>214</v>
      </c>
      <c r="B86" s="29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1"/>
        <v>0</v>
      </c>
      <c r="M86" s="28"/>
      <c r="N86" s="28">
        <f t="shared" si="3"/>
        <v>0</v>
      </c>
      <c r="O86" s="38">
        <f t="shared" si="12"/>
        <v>0</v>
      </c>
    </row>
    <row r="87" spans="1:15" ht="15.95" customHeight="1" x14ac:dyDescent="0.2">
      <c r="A87" s="41">
        <v>223</v>
      </c>
      <c r="B87" s="29" t="s">
        <v>192</v>
      </c>
      <c r="C87" s="28">
        <v>2000</v>
      </c>
      <c r="D87" s="28"/>
      <c r="E87" s="28"/>
      <c r="F87" s="44"/>
      <c r="G87" s="44"/>
      <c r="H87" s="28">
        <v>10000</v>
      </c>
      <c r="I87" s="28"/>
      <c r="J87" s="44"/>
      <c r="K87" s="44"/>
      <c r="L87" s="28">
        <f t="shared" si="11"/>
        <v>12000</v>
      </c>
      <c r="M87" s="28">
        <f>120+45</f>
        <v>165</v>
      </c>
      <c r="N87" s="28">
        <f t="shared" si="3"/>
        <v>11835</v>
      </c>
      <c r="O87" s="38">
        <f t="shared" si="12"/>
        <v>3.1252973412625778E-5</v>
      </c>
    </row>
    <row r="88" spans="1:15" ht="15.95" hidden="1" customHeight="1" x14ac:dyDescent="0.2">
      <c r="A88" s="41">
        <v>229</v>
      </c>
      <c r="B88" s="29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1"/>
        <v>0</v>
      </c>
      <c r="M88" s="28"/>
      <c r="N88" s="28">
        <f t="shared" si="3"/>
        <v>0</v>
      </c>
      <c r="O88" s="38">
        <f t="shared" si="12"/>
        <v>0</v>
      </c>
    </row>
    <row r="89" spans="1:15" ht="15.95" customHeight="1" x14ac:dyDescent="0.2">
      <c r="A89" s="41" t="s">
        <v>122</v>
      </c>
      <c r="B89" s="29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1"/>
        <v>5000</v>
      </c>
      <c r="M89" s="28">
        <f>94.99+48+684.2</f>
        <v>827.19</v>
      </c>
      <c r="N89" s="28">
        <f t="shared" si="3"/>
        <v>4172.8099999999995</v>
      </c>
      <c r="O89" s="38">
        <f t="shared" si="12"/>
        <v>1.5667967925569648E-4</v>
      </c>
    </row>
    <row r="90" spans="1:15" ht="15.95" customHeight="1" x14ac:dyDescent="0.2">
      <c r="A90" s="41" t="s">
        <v>123</v>
      </c>
      <c r="B90" s="29" t="s">
        <v>63</v>
      </c>
      <c r="C90" s="28">
        <v>33800</v>
      </c>
      <c r="D90" s="28"/>
      <c r="E90" s="28"/>
      <c r="F90" s="44"/>
      <c r="G90" s="44"/>
      <c r="H90" s="28">
        <v>20017.62</v>
      </c>
      <c r="I90" s="28"/>
      <c r="J90" s="44">
        <v>15000</v>
      </c>
      <c r="K90" s="44"/>
      <c r="L90" s="28">
        <f t="shared" si="11"/>
        <v>68817.62</v>
      </c>
      <c r="M90" s="28">
        <f>21140+8098.8+8250</f>
        <v>37488.800000000003</v>
      </c>
      <c r="N90" s="28">
        <f t="shared" si="3"/>
        <v>31328.819999999992</v>
      </c>
      <c r="O90" s="38">
        <f t="shared" si="12"/>
        <v>7.1008270889166393E-3</v>
      </c>
    </row>
    <row r="91" spans="1:15" ht="15.95" customHeight="1" x14ac:dyDescent="0.2">
      <c r="A91" s="41" t="s">
        <v>124</v>
      </c>
      <c r="B91" s="29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>C91+D91-E91+F91-G91+H91+J91-I91-K91</f>
        <v>5250</v>
      </c>
      <c r="M91" s="28">
        <f>439+446.2+360+360+360+416.45+381</f>
        <v>2762.65</v>
      </c>
      <c r="N91" s="28">
        <f t="shared" si="3"/>
        <v>2487.35</v>
      </c>
      <c r="O91" s="38">
        <f t="shared" si="12"/>
        <v>5.2327895150539765E-4</v>
      </c>
    </row>
    <row r="92" spans="1:15" ht="15.95" customHeight="1" x14ac:dyDescent="0.2">
      <c r="A92" s="41" t="s">
        <v>125</v>
      </c>
      <c r="B92" s="29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>C92+D92-E92+F92-G92+H92+J92-K92</f>
        <v>10500</v>
      </c>
      <c r="M92" s="28">
        <f>970+65.15+174.99+1122.19+587.15+1070.24+1171.14</f>
        <v>5160.8600000000006</v>
      </c>
      <c r="N92" s="28">
        <f t="shared" si="3"/>
        <v>5339.1399999999994</v>
      </c>
      <c r="O92" s="38">
        <f t="shared" si="12"/>
        <v>9.7752860828050851E-4</v>
      </c>
    </row>
    <row r="93" spans="1:15" ht="15.95" customHeight="1" x14ac:dyDescent="0.2">
      <c r="A93" s="41" t="s">
        <v>126</v>
      </c>
      <c r="B93" s="29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>C93+D93-E93+F93-G93+H93+J93-I93-K93</f>
        <v>3050</v>
      </c>
      <c r="M93" s="28">
        <f>394.5+294.3+387.3+246</f>
        <v>1322.1</v>
      </c>
      <c r="N93" s="28">
        <f t="shared" si="3"/>
        <v>1727.9</v>
      </c>
      <c r="O93" s="38">
        <f t="shared" si="12"/>
        <v>2.5042155241716694E-4</v>
      </c>
    </row>
    <row r="94" spans="1:15" ht="15.95" customHeight="1" x14ac:dyDescent="0.2">
      <c r="A94" s="41" t="s">
        <v>127</v>
      </c>
      <c r="B94" s="29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ref="L94:L111" si="13">C94+D94-E94+F94-G94+H94+J94-K94</f>
        <v>875</v>
      </c>
      <c r="M94" s="28"/>
      <c r="N94" s="28">
        <f t="shared" si="3"/>
        <v>875</v>
      </c>
      <c r="O94" s="38">
        <f t="shared" si="12"/>
        <v>0</v>
      </c>
    </row>
    <row r="95" spans="1:15" ht="15.95" customHeight="1" x14ac:dyDescent="0.2">
      <c r="A95" s="41" t="s">
        <v>128</v>
      </c>
      <c r="B95" s="29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3"/>
        <v>5500</v>
      </c>
      <c r="M95" s="28"/>
      <c r="N95" s="28">
        <f t="shared" si="3"/>
        <v>5500</v>
      </c>
      <c r="O95" s="38">
        <f t="shared" si="12"/>
        <v>0</v>
      </c>
    </row>
    <row r="96" spans="1:15" ht="15.95" customHeight="1" x14ac:dyDescent="0.2">
      <c r="A96" s="41" t="s">
        <v>129</v>
      </c>
      <c r="B96" s="29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3"/>
        <v>2700</v>
      </c>
      <c r="M96" s="28">
        <f>527.45+48+320+1742.85+14.35</f>
        <v>2652.65</v>
      </c>
      <c r="N96" s="28">
        <f t="shared" si="3"/>
        <v>47.349999999999909</v>
      </c>
      <c r="O96" s="38">
        <f t="shared" si="12"/>
        <v>5.0244363589698046E-4</v>
      </c>
    </row>
    <row r="97" spans="1:15" ht="15.95" customHeight="1" x14ac:dyDescent="0.2">
      <c r="A97" s="41" t="s">
        <v>196</v>
      </c>
      <c r="B97" s="29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3"/>
        <v>2800</v>
      </c>
      <c r="M97" s="28">
        <f>89+40+158</f>
        <v>287</v>
      </c>
      <c r="N97" s="28">
        <f t="shared" si="3"/>
        <v>2513</v>
      </c>
      <c r="O97" s="38">
        <f t="shared" si="12"/>
        <v>5.4361232541961209E-5</v>
      </c>
    </row>
    <row r="98" spans="1:15" ht="15.95" customHeight="1" x14ac:dyDescent="0.2">
      <c r="A98" s="41" t="s">
        <v>130</v>
      </c>
      <c r="B98" s="29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3"/>
        <v>8500</v>
      </c>
      <c r="M98" s="28">
        <f>687.48+165+140+326.74+957.98+950+725</f>
        <v>3952.2</v>
      </c>
      <c r="N98" s="28">
        <f t="shared" si="3"/>
        <v>4547.8</v>
      </c>
      <c r="O98" s="38">
        <f t="shared" si="12"/>
        <v>7.485939486144218E-4</v>
      </c>
    </row>
    <row r="99" spans="1:15" ht="15.95" customHeight="1" x14ac:dyDescent="0.2">
      <c r="A99" s="41" t="s">
        <v>131</v>
      </c>
      <c r="B99" s="29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3"/>
        <v>6000</v>
      </c>
      <c r="M99" s="28">
        <f>342.5+60</f>
        <v>402.5</v>
      </c>
      <c r="N99" s="28">
        <f t="shared" si="3"/>
        <v>5597.5</v>
      </c>
      <c r="O99" s="38">
        <f t="shared" si="12"/>
        <v>7.6238313930799255E-5</v>
      </c>
    </row>
    <row r="100" spans="1:15" ht="15.95" customHeight="1" x14ac:dyDescent="0.2">
      <c r="A100" s="41" t="s">
        <v>132</v>
      </c>
      <c r="B100" s="29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>
        <v>50000</v>
      </c>
      <c r="K100" s="44"/>
      <c r="L100" s="28">
        <f t="shared" si="13"/>
        <v>67500</v>
      </c>
      <c r="M100" s="28">
        <f>862.5+1427.35</f>
        <v>2289.85</v>
      </c>
      <c r="N100" s="28">
        <f t="shared" si="3"/>
        <v>65210.15</v>
      </c>
      <c r="O100" s="38">
        <f t="shared" si="12"/>
        <v>4.3372497678121903E-4</v>
      </c>
    </row>
    <row r="101" spans="1:15" ht="15.95" customHeight="1" x14ac:dyDescent="0.2">
      <c r="A101" s="41" t="s">
        <v>133</v>
      </c>
      <c r="B101" s="29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3"/>
        <v>3000</v>
      </c>
      <c r="M101" s="28">
        <f>691.35+274.07+29.5+1161.24+18+2424.9</f>
        <v>4599.0599999999995</v>
      </c>
      <c r="N101" s="28">
        <f t="shared" si="3"/>
        <v>-1599.0599999999995</v>
      </c>
      <c r="O101" s="38">
        <f t="shared" si="12"/>
        <v>8.7111696910951943E-4</v>
      </c>
    </row>
    <row r="102" spans="1:15" ht="15.95" customHeight="1" x14ac:dyDescent="0.2">
      <c r="A102" s="41" t="s">
        <v>134</v>
      </c>
      <c r="B102" s="29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3"/>
        <v>1500</v>
      </c>
      <c r="M102" s="28">
        <v>588</v>
      </c>
      <c r="N102" s="28">
        <f t="shared" ref="N102:N141" si="14">L102-M102</f>
        <v>912</v>
      </c>
      <c r="O102" s="38">
        <f t="shared" si="12"/>
        <v>1.1137423252499369E-4</v>
      </c>
    </row>
    <row r="103" spans="1:15" ht="15.95" customHeight="1" x14ac:dyDescent="0.2">
      <c r="A103" s="41" t="s">
        <v>135</v>
      </c>
      <c r="B103" s="29" t="s">
        <v>70</v>
      </c>
      <c r="C103" s="28">
        <v>181653.08</v>
      </c>
      <c r="D103" s="28"/>
      <c r="E103" s="28"/>
      <c r="F103" s="44"/>
      <c r="G103" s="44"/>
      <c r="H103" s="28">
        <v>100000</v>
      </c>
      <c r="I103" s="28"/>
      <c r="J103" s="44"/>
      <c r="K103" s="44">
        <v>122000</v>
      </c>
      <c r="L103" s="28">
        <f t="shared" si="13"/>
        <v>159653.07999999996</v>
      </c>
      <c r="M103" s="28"/>
      <c r="N103" s="28">
        <f t="shared" si="14"/>
        <v>159653.07999999996</v>
      </c>
      <c r="O103" s="38">
        <f t="shared" si="12"/>
        <v>0</v>
      </c>
    </row>
    <row r="104" spans="1:15" ht="15.95" hidden="1" customHeight="1" x14ac:dyDescent="0.2">
      <c r="A104" s="41">
        <v>272</v>
      </c>
      <c r="B104" s="29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3"/>
        <v>0</v>
      </c>
      <c r="M104" s="28"/>
      <c r="N104" s="28">
        <f t="shared" si="14"/>
        <v>0</v>
      </c>
      <c r="O104" s="38">
        <f t="shared" si="12"/>
        <v>0</v>
      </c>
    </row>
    <row r="105" spans="1:15" ht="15.95" hidden="1" customHeight="1" x14ac:dyDescent="0.2">
      <c r="A105" s="41" t="s">
        <v>136</v>
      </c>
      <c r="B105" s="29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3"/>
        <v>0</v>
      </c>
      <c r="M105" s="28"/>
      <c r="N105" s="28">
        <f t="shared" si="14"/>
        <v>0</v>
      </c>
      <c r="O105" s="38">
        <f t="shared" si="12"/>
        <v>0</v>
      </c>
    </row>
    <row r="106" spans="1:15" ht="15.95" customHeight="1" x14ac:dyDescent="0.2">
      <c r="A106" s="41">
        <v>274</v>
      </c>
      <c r="B106" s="29" t="s">
        <v>71</v>
      </c>
      <c r="C106" s="28">
        <v>1500</v>
      </c>
      <c r="D106" s="28"/>
      <c r="E106" s="28"/>
      <c r="F106" s="44"/>
      <c r="G106" s="44"/>
      <c r="H106" s="28">
        <v>10000</v>
      </c>
      <c r="I106" s="28"/>
      <c r="J106" s="44"/>
      <c r="K106" s="44"/>
      <c r="L106" s="28">
        <f t="shared" si="13"/>
        <v>11500</v>
      </c>
      <c r="M106" s="28">
        <v>486</v>
      </c>
      <c r="N106" s="28">
        <f t="shared" si="14"/>
        <v>11014</v>
      </c>
      <c r="O106" s="38">
        <f t="shared" si="12"/>
        <v>9.205421259718867E-5</v>
      </c>
    </row>
    <row r="107" spans="1:15" ht="15.95" hidden="1" customHeight="1" x14ac:dyDescent="0.2">
      <c r="A107" s="41">
        <v>275</v>
      </c>
      <c r="B107" s="29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3"/>
        <v>0</v>
      </c>
      <c r="M107" s="28"/>
      <c r="N107" s="28">
        <f t="shared" si="14"/>
        <v>0</v>
      </c>
      <c r="O107" s="38">
        <f t="shared" si="12"/>
        <v>0</v>
      </c>
    </row>
    <row r="108" spans="1:15" ht="15.95" customHeight="1" x14ac:dyDescent="0.2">
      <c r="A108" s="41">
        <v>279</v>
      </c>
      <c r="B108" s="29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3"/>
        <v>750</v>
      </c>
      <c r="M108" s="28"/>
      <c r="N108" s="28">
        <f t="shared" si="14"/>
        <v>750</v>
      </c>
      <c r="O108" s="38">
        <f t="shared" si="12"/>
        <v>0</v>
      </c>
    </row>
    <row r="109" spans="1:15" ht="15.95" hidden="1" customHeight="1" x14ac:dyDescent="0.2">
      <c r="A109" s="41">
        <v>281</v>
      </c>
      <c r="B109" s="29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3"/>
        <v>0</v>
      </c>
      <c r="M109" s="28"/>
      <c r="N109" s="28">
        <f t="shared" si="14"/>
        <v>0</v>
      </c>
      <c r="O109" s="38">
        <f t="shared" si="12"/>
        <v>0</v>
      </c>
    </row>
    <row r="110" spans="1:15" ht="15.95" customHeight="1" x14ac:dyDescent="0.2">
      <c r="A110" s="41" t="s">
        <v>137</v>
      </c>
      <c r="B110" s="29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3"/>
        <v>4800</v>
      </c>
      <c r="M110" s="28">
        <f>31.6+60.84+123.51+7.8</f>
        <v>223.75</v>
      </c>
      <c r="N110" s="28">
        <f t="shared" si="14"/>
        <v>4576.25</v>
      </c>
      <c r="O110" s="38">
        <f t="shared" si="12"/>
        <v>4.2380926067121327E-5</v>
      </c>
    </row>
    <row r="111" spans="1:15" ht="15.95" customHeight="1" x14ac:dyDescent="0.2">
      <c r="A111" s="41" t="s">
        <v>138</v>
      </c>
      <c r="B111" s="29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3"/>
        <v>28800</v>
      </c>
      <c r="M111" s="28">
        <v>924.54</v>
      </c>
      <c r="N111" s="28">
        <f t="shared" si="14"/>
        <v>27875.46</v>
      </c>
      <c r="O111" s="38">
        <f t="shared" si="12"/>
        <v>1.7511893356914569E-4</v>
      </c>
    </row>
    <row r="112" spans="1:15" ht="15.95" customHeight="1" x14ac:dyDescent="0.2">
      <c r="A112" s="41" t="s">
        <v>139</v>
      </c>
      <c r="B112" s="29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>
        <v>1088331</v>
      </c>
      <c r="N112" s="28">
        <f t="shared" si="14"/>
        <v>211669</v>
      </c>
      <c r="O112" s="38">
        <f t="shared" si="12"/>
        <v>0.20614290792203896</v>
      </c>
    </row>
    <row r="113" spans="1:15" ht="15.95" customHeight="1" x14ac:dyDescent="0.2">
      <c r="A113" s="41">
        <v>286</v>
      </c>
      <c r="B113" s="29" t="s">
        <v>207</v>
      </c>
      <c r="C113" s="28">
        <v>1500</v>
      </c>
      <c r="D113" s="28"/>
      <c r="E113" s="28"/>
      <c r="F113" s="44"/>
      <c r="G113" s="44"/>
      <c r="H113" s="28">
        <v>3000</v>
      </c>
      <c r="I113" s="28"/>
      <c r="J113" s="44"/>
      <c r="K113" s="44"/>
      <c r="L113" s="28">
        <f t="shared" ref="L113:L121" si="15">C113+D113-E113+F113-G113+H113+J113-K113</f>
        <v>4500</v>
      </c>
      <c r="M113" s="28">
        <f>118+98</f>
        <v>216</v>
      </c>
      <c r="N113" s="28">
        <f t="shared" si="14"/>
        <v>4284</v>
      </c>
      <c r="O113" s="38">
        <f t="shared" si="12"/>
        <v>4.0912983376528296E-5</v>
      </c>
    </row>
    <row r="114" spans="1:15" ht="15.95" hidden="1" customHeight="1" x14ac:dyDescent="0.2">
      <c r="A114" s="41">
        <v>289</v>
      </c>
      <c r="B114" s="29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5"/>
        <v>0</v>
      </c>
      <c r="M114" s="28"/>
      <c r="N114" s="28">
        <f t="shared" si="14"/>
        <v>0</v>
      </c>
      <c r="O114" s="38">
        <f t="shared" si="12"/>
        <v>0</v>
      </c>
    </row>
    <row r="115" spans="1:15" ht="15.95" customHeight="1" x14ac:dyDescent="0.2">
      <c r="A115" s="41" t="s">
        <v>140</v>
      </c>
      <c r="B115" s="29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5"/>
        <v>6600</v>
      </c>
      <c r="M115" s="28">
        <f>170.3+371+88.55+154.7+1286.78+366.45+423.8</f>
        <v>2861.58</v>
      </c>
      <c r="N115" s="28">
        <f t="shared" si="14"/>
        <v>3738.42</v>
      </c>
      <c r="O115" s="38">
        <f t="shared" si="12"/>
        <v>5.4201747671576777E-4</v>
      </c>
    </row>
    <row r="116" spans="1:15" ht="30.75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5"/>
        <v>4000</v>
      </c>
      <c r="M116" s="28">
        <f>274.1+117.25+110.65+75.98+241.2+191.88+275.85</f>
        <v>1286.9100000000001</v>
      </c>
      <c r="N116" s="28">
        <f t="shared" si="14"/>
        <v>2713.09</v>
      </c>
      <c r="O116" s="38">
        <f t="shared" si="12"/>
        <v>2.4375614554207422E-4</v>
      </c>
    </row>
    <row r="117" spans="1:15" ht="15.95" customHeight="1" x14ac:dyDescent="0.2">
      <c r="A117" s="41" t="s">
        <v>142</v>
      </c>
      <c r="B117" s="29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5"/>
        <v>25251.9</v>
      </c>
      <c r="M117" s="28">
        <f>4500+5193.57+990</f>
        <v>10683.57</v>
      </c>
      <c r="N117" s="28">
        <f t="shared" si="14"/>
        <v>14568.330000000002</v>
      </c>
      <c r="O117" s="38">
        <f t="shared" si="12"/>
        <v>2.0235959343147055E-3</v>
      </c>
    </row>
    <row r="118" spans="1:15" ht="15.95" customHeight="1" x14ac:dyDescent="0.2">
      <c r="A118" s="41" t="s">
        <v>143</v>
      </c>
      <c r="B118" s="29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5"/>
        <v>2000</v>
      </c>
      <c r="M118" s="28"/>
      <c r="N118" s="28">
        <f t="shared" si="14"/>
        <v>2000</v>
      </c>
      <c r="O118" s="38">
        <f t="shared" si="12"/>
        <v>0</v>
      </c>
    </row>
    <row r="119" spans="1:15" ht="33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>
        <v>20500</v>
      </c>
      <c r="I119" s="28"/>
      <c r="J119" s="44"/>
      <c r="K119" s="44"/>
      <c r="L119" s="28">
        <f t="shared" si="15"/>
        <v>30000</v>
      </c>
      <c r="M119" s="28">
        <f>194+575.6+183.25</f>
        <v>952.85</v>
      </c>
      <c r="N119" s="28">
        <f t="shared" si="14"/>
        <v>29047.15</v>
      </c>
      <c r="O119" s="38">
        <f t="shared" si="12"/>
        <v>1.8048118615891198E-4</v>
      </c>
    </row>
    <row r="120" spans="1:15" ht="15.95" customHeight="1" x14ac:dyDescent="0.2">
      <c r="A120" s="41" t="s">
        <v>145</v>
      </c>
      <c r="B120" s="29" t="s">
        <v>77</v>
      </c>
      <c r="C120" s="28">
        <v>76000</v>
      </c>
      <c r="D120" s="28"/>
      <c r="E120" s="28"/>
      <c r="F120" s="44"/>
      <c r="G120" s="44"/>
      <c r="H120" s="28">
        <v>75000</v>
      </c>
      <c r="I120" s="28"/>
      <c r="J120" s="44">
        <v>49000</v>
      </c>
      <c r="K120" s="44"/>
      <c r="L120" s="28">
        <f t="shared" si="15"/>
        <v>200000</v>
      </c>
      <c r="M120" s="28">
        <f>18285.5</f>
        <v>18285.5</v>
      </c>
      <c r="N120" s="28">
        <f t="shared" si="14"/>
        <v>181714.5</v>
      </c>
      <c r="O120" s="38">
        <f t="shared" si="12"/>
        <v>3.4634923959792042E-3</v>
      </c>
    </row>
    <row r="121" spans="1:15" ht="15.95" customHeight="1" x14ac:dyDescent="0.2">
      <c r="A121" s="41" t="s">
        <v>146</v>
      </c>
      <c r="B121" s="29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5"/>
        <v>9500</v>
      </c>
      <c r="M121" s="28">
        <f>256.15+122.2+625.35+1200+1803.2+2247.91</f>
        <v>6254.8099999999995</v>
      </c>
      <c r="N121" s="28">
        <f t="shared" si="14"/>
        <v>3245.1900000000005</v>
      </c>
      <c r="O121" s="38">
        <f t="shared" si="12"/>
        <v>1.1847358220062173E-3</v>
      </c>
    </row>
    <row r="122" spans="1:15" ht="15.95" customHeight="1" x14ac:dyDescent="0.2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29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40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43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2" si="16">C126+D126-E126+F126-G126+H126+J126-K126</f>
        <v>10000</v>
      </c>
      <c r="M126" s="28"/>
      <c r="N126" s="28">
        <f t="shared" si="14"/>
        <v>10000</v>
      </c>
      <c r="O126" s="38">
        <f>M126/$M$142</f>
        <v>0</v>
      </c>
    </row>
    <row r="127" spans="1:15" ht="15.95" hidden="1" customHeight="1" x14ac:dyDescent="0.2">
      <c r="A127" s="42" t="s">
        <v>80</v>
      </c>
      <c r="B127" s="43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6"/>
        <v>0</v>
      </c>
      <c r="M127" s="28"/>
      <c r="N127" s="28">
        <f t="shared" si="14"/>
        <v>0</v>
      </c>
      <c r="O127" s="38">
        <f>M127/$M$142</f>
        <v>0</v>
      </c>
    </row>
    <row r="128" spans="1:15" ht="15.95" customHeight="1" x14ac:dyDescent="0.2">
      <c r="A128" s="42" t="s">
        <v>214</v>
      </c>
      <c r="B128" s="43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6"/>
        <v>304035</v>
      </c>
      <c r="M128" s="28"/>
      <c r="N128" s="28">
        <f t="shared" si="14"/>
        <v>304035</v>
      </c>
      <c r="O128" s="38">
        <f>M128/$M$142</f>
        <v>0</v>
      </c>
    </row>
    <row r="129" spans="1:15" ht="15.95" customHeight="1" x14ac:dyDescent="0.2">
      <c r="A129" s="42">
        <v>325</v>
      </c>
      <c r="B129" s="43" t="s">
        <v>268</v>
      </c>
      <c r="C129" s="44"/>
      <c r="D129" s="28"/>
      <c r="E129" s="28"/>
      <c r="F129" s="44"/>
      <c r="G129" s="44"/>
      <c r="H129" s="28">
        <v>25000</v>
      </c>
      <c r="I129" s="28"/>
      <c r="J129" s="44"/>
      <c r="K129" s="44"/>
      <c r="L129" s="28">
        <f t="shared" si="16"/>
        <v>25000</v>
      </c>
      <c r="M129" s="28">
        <v>11490</v>
      </c>
      <c r="N129" s="28">
        <f t="shared" si="14"/>
        <v>13510</v>
      </c>
      <c r="O129" s="38">
        <f>M129/$M$142</f>
        <v>2.1763434212792136E-3</v>
      </c>
    </row>
    <row r="130" spans="1:15" ht="15.95" customHeight="1" x14ac:dyDescent="0.2">
      <c r="A130" s="42" t="s">
        <v>216</v>
      </c>
      <c r="B130" s="43" t="s">
        <v>217</v>
      </c>
      <c r="C130" s="44">
        <v>1500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6"/>
        <v>1500</v>
      </c>
      <c r="M130" s="28"/>
      <c r="N130" s="28">
        <f t="shared" si="14"/>
        <v>1500</v>
      </c>
      <c r="O130" s="38">
        <f>M130/$M$142</f>
        <v>0</v>
      </c>
    </row>
    <row r="131" spans="1:15" ht="15.95" customHeight="1" x14ac:dyDescent="0.2">
      <c r="A131" s="42">
        <v>328</v>
      </c>
      <c r="B131" s="43" t="s">
        <v>234</v>
      </c>
      <c r="C131" s="44">
        <v>40000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6"/>
        <v>40000</v>
      </c>
      <c r="M131" s="28">
        <v>4670</v>
      </c>
      <c r="N131" s="28">
        <f t="shared" si="14"/>
        <v>35330</v>
      </c>
      <c r="O131" s="38">
        <f>+M131/M142</f>
        <v>8.845538535573479E-4</v>
      </c>
    </row>
    <row r="132" spans="1:15" ht="15.95" customHeight="1" x14ac:dyDescent="0.2">
      <c r="A132" s="42" t="s">
        <v>218</v>
      </c>
      <c r="B132" s="43" t="s">
        <v>219</v>
      </c>
      <c r="C132" s="44">
        <v>14300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si="16"/>
        <v>14300</v>
      </c>
      <c r="M132" s="28"/>
      <c r="N132" s="28">
        <f t="shared" si="14"/>
        <v>14300</v>
      </c>
      <c r="O132" s="38">
        <f>M132/$M$142</f>
        <v>0</v>
      </c>
    </row>
    <row r="133" spans="1:15" ht="15.95" hidden="1" customHeight="1" x14ac:dyDescent="0.2">
      <c r="A133" s="42" t="s">
        <v>220</v>
      </c>
      <c r="B133" s="43" t="s">
        <v>221</v>
      </c>
      <c r="C133" s="44">
        <v>0</v>
      </c>
      <c r="D133" s="28"/>
      <c r="E133" s="28"/>
      <c r="F133" s="44"/>
      <c r="G133" s="44"/>
      <c r="H133" s="28"/>
      <c r="I133" s="28"/>
      <c r="J133" s="44"/>
      <c r="K133" s="44"/>
      <c r="L133" s="28">
        <f>C133+D133-E133+F133-G133+J133-K133</f>
        <v>0</v>
      </c>
      <c r="M133" s="28"/>
      <c r="N133" s="28">
        <f t="shared" si="14"/>
        <v>0</v>
      </c>
      <c r="O133" s="38">
        <f>M133/$M$142</f>
        <v>0</v>
      </c>
    </row>
    <row r="134" spans="1:15" ht="15.95" customHeight="1" x14ac:dyDescent="0.2">
      <c r="A134" s="42"/>
      <c r="B134" s="43"/>
      <c r="C134" s="44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">
      <c r="A135" s="41"/>
      <c r="B135" s="29"/>
      <c r="C135" s="28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5">
      <c r="A136" s="39">
        <v>4</v>
      </c>
      <c r="B136" s="40" t="s">
        <v>81</v>
      </c>
      <c r="C136" s="26"/>
      <c r="D136" s="28"/>
      <c r="E136" s="28"/>
      <c r="F136" s="44"/>
      <c r="G136" s="44"/>
      <c r="H136" s="28"/>
      <c r="I136" s="28"/>
      <c r="J136" s="44"/>
      <c r="K136" s="44"/>
      <c r="L136" s="28"/>
      <c r="M136" s="28"/>
      <c r="N136" s="28"/>
      <c r="O136" s="38"/>
    </row>
    <row r="137" spans="1:15" ht="15.95" customHeight="1" x14ac:dyDescent="0.2">
      <c r="A137" s="41" t="s">
        <v>222</v>
      </c>
      <c r="B137" s="29" t="s">
        <v>82</v>
      </c>
      <c r="C137" s="28">
        <v>185900</v>
      </c>
      <c r="D137" s="28"/>
      <c r="E137" s="28"/>
      <c r="F137" s="44"/>
      <c r="G137" s="44"/>
      <c r="H137" s="28"/>
      <c r="I137" s="28"/>
      <c r="J137" s="44"/>
      <c r="K137" s="44"/>
      <c r="L137" s="28">
        <f>C137+D137-E137+F137-G137+H137+J137-K137</f>
        <v>185900</v>
      </c>
      <c r="M137" s="28"/>
      <c r="N137" s="28">
        <f t="shared" si="14"/>
        <v>185900</v>
      </c>
      <c r="O137" s="38">
        <f>M137/$M$142</f>
        <v>0</v>
      </c>
    </row>
    <row r="138" spans="1:15" ht="15.95" customHeight="1" x14ac:dyDescent="0.2">
      <c r="A138" s="41" t="s">
        <v>223</v>
      </c>
      <c r="B138" s="29" t="s">
        <v>224</v>
      </c>
      <c r="C138" s="28">
        <v>7170</v>
      </c>
      <c r="D138" s="28"/>
      <c r="E138" s="28"/>
      <c r="F138" s="28"/>
      <c r="G138" s="28"/>
      <c r="H138" s="28"/>
      <c r="I138" s="28"/>
      <c r="J138" s="44"/>
      <c r="K138" s="44"/>
      <c r="L138" s="28">
        <f>C138+D138-E138+F138-G138+H138+J138-K138</f>
        <v>7170</v>
      </c>
      <c r="M138" s="28"/>
      <c r="N138" s="28">
        <f t="shared" si="14"/>
        <v>7170</v>
      </c>
      <c r="O138" s="38">
        <f>M138/$M$142</f>
        <v>0</v>
      </c>
    </row>
    <row r="139" spans="1:15" ht="15.95" customHeight="1" x14ac:dyDescent="0.2">
      <c r="A139" s="41" t="s">
        <v>225</v>
      </c>
      <c r="B139" s="29" t="s">
        <v>226</v>
      </c>
      <c r="C139" s="28">
        <v>70000</v>
      </c>
      <c r="D139" s="28"/>
      <c r="E139" s="28"/>
      <c r="F139" s="28"/>
      <c r="G139" s="28"/>
      <c r="H139" s="28"/>
      <c r="I139" s="28"/>
      <c r="J139" s="44"/>
      <c r="K139" s="44"/>
      <c r="L139" s="28">
        <f>C139+D139-E139+F139-G139+H139+J139-K139</f>
        <v>70000</v>
      </c>
      <c r="M139" s="28">
        <f>500+500</f>
        <v>1000</v>
      </c>
      <c r="N139" s="28">
        <f t="shared" si="14"/>
        <v>69000</v>
      </c>
      <c r="O139" s="38">
        <f>M139/$M$142</f>
        <v>1.8941196007651989E-4</v>
      </c>
    </row>
    <row r="140" spans="1:15" ht="30.75" customHeight="1" x14ac:dyDescent="0.2">
      <c r="A140" s="41">
        <v>453</v>
      </c>
      <c r="B140" s="100" t="s">
        <v>264</v>
      </c>
      <c r="C140" s="28">
        <v>0</v>
      </c>
      <c r="D140" s="28"/>
      <c r="E140" s="28"/>
      <c r="F140" s="28">
        <v>120000</v>
      </c>
      <c r="G140" s="28"/>
      <c r="H140" s="28"/>
      <c r="I140" s="28"/>
      <c r="J140" s="44"/>
      <c r="K140" s="44"/>
      <c r="L140" s="28">
        <f>C140+D140-E140+F140-G140+H140+J140-K140</f>
        <v>120000</v>
      </c>
      <c r="M140" s="28">
        <v>118168.58</v>
      </c>
      <c r="N140" s="28">
        <f t="shared" si="14"/>
        <v>1831.4199999999983</v>
      </c>
      <c r="O140" s="38"/>
    </row>
    <row r="141" spans="1:15" ht="33" customHeight="1" thickBot="1" x14ac:dyDescent="0.25">
      <c r="A141" s="41" t="s">
        <v>227</v>
      </c>
      <c r="B141" s="100" t="s">
        <v>228</v>
      </c>
      <c r="C141" s="28">
        <v>8750</v>
      </c>
      <c r="D141" s="28"/>
      <c r="E141" s="28"/>
      <c r="F141" s="28"/>
      <c r="G141" s="28"/>
      <c r="H141" s="28"/>
      <c r="I141" s="28"/>
      <c r="J141" s="44"/>
      <c r="K141" s="44"/>
      <c r="L141" s="28">
        <f>C141+D141-E141+F141-G141+H141+J141-K141</f>
        <v>8750</v>
      </c>
      <c r="M141" s="28">
        <v>1937.01</v>
      </c>
      <c r="N141" s="28">
        <f t="shared" si="14"/>
        <v>6812.99</v>
      </c>
      <c r="O141" s="38">
        <f>M141/$M$142</f>
        <v>3.6689286078781978E-4</v>
      </c>
    </row>
    <row r="142" spans="1:15" ht="18" customHeight="1" thickBot="1" x14ac:dyDescent="0.3">
      <c r="A142" s="32"/>
      <c r="B142" s="33" t="s">
        <v>90</v>
      </c>
      <c r="C142" s="34">
        <f t="shared" ref="C142:N142" si="17">SUM(C31:C141)</f>
        <v>8258523.6200000001</v>
      </c>
      <c r="D142" s="34">
        <f t="shared" si="17"/>
        <v>0</v>
      </c>
      <c r="E142" s="34">
        <f t="shared" si="17"/>
        <v>0</v>
      </c>
      <c r="F142" s="34">
        <f t="shared" si="17"/>
        <v>584600</v>
      </c>
      <c r="G142" s="34">
        <f t="shared" si="17"/>
        <v>584600</v>
      </c>
      <c r="H142" s="34">
        <f t="shared" ref="H142:M142" si="18">SUM(H31:H141)</f>
        <v>2655496.71</v>
      </c>
      <c r="I142" s="34">
        <f t="shared" si="18"/>
        <v>0</v>
      </c>
      <c r="J142" s="64">
        <f t="shared" si="18"/>
        <v>137000</v>
      </c>
      <c r="K142" s="64">
        <f t="shared" si="18"/>
        <v>137000</v>
      </c>
      <c r="L142" s="34">
        <f t="shared" si="18"/>
        <v>10914020.33</v>
      </c>
      <c r="M142" s="34">
        <f t="shared" si="18"/>
        <v>5279497.6599999992</v>
      </c>
      <c r="N142" s="34">
        <f t="shared" si="17"/>
        <v>5634522.6700000009</v>
      </c>
      <c r="O142" s="45">
        <v>1</v>
      </c>
    </row>
    <row r="143" spans="1:15" x14ac:dyDescent="0.2">
      <c r="A143" s="46"/>
      <c r="B143" s="75"/>
      <c r="C143" s="77"/>
      <c r="D143" s="76"/>
      <c r="E143" s="47"/>
      <c r="F143" s="47"/>
      <c r="G143" s="47"/>
      <c r="H143" s="47"/>
      <c r="I143" s="47"/>
      <c r="J143" s="65"/>
      <c r="K143" s="65"/>
      <c r="L143" s="47"/>
      <c r="M143" s="47"/>
      <c r="N143" s="47"/>
    </row>
    <row r="144" spans="1:15" ht="15.75" thickBot="1" x14ac:dyDescent="0.25">
      <c r="E144" s="12"/>
      <c r="F144" s="4"/>
      <c r="L144" s="14"/>
      <c r="M144" s="4"/>
    </row>
    <row r="145" spans="1:13" ht="15.75" x14ac:dyDescent="0.25">
      <c r="A145" s="1" t="s">
        <v>83</v>
      </c>
      <c r="B145" s="2"/>
      <c r="C145" s="3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15.75" x14ac:dyDescent="0.25">
      <c r="A146" s="5" t="s">
        <v>2</v>
      </c>
      <c r="B146" s="6"/>
      <c r="C146" s="7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5.0999999999999996" customHeight="1" thickBot="1" x14ac:dyDescent="0.25">
      <c r="A147" s="8"/>
      <c r="B147" s="9"/>
      <c r="C147" s="1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ht="6.95" customHeight="1" x14ac:dyDescent="0.2">
      <c r="A148" s="48"/>
      <c r="B148" s="49"/>
      <c r="C148" s="50"/>
      <c r="D148" s="4"/>
      <c r="E148" s="4"/>
      <c r="F148" s="4"/>
      <c r="G148" s="4"/>
      <c r="H148" s="4"/>
      <c r="I148" s="4"/>
      <c r="J148" s="66"/>
      <c r="K148" s="66"/>
      <c r="L148" s="4"/>
      <c r="M148" s="4"/>
    </row>
    <row r="149" spans="1:13" x14ac:dyDescent="0.2">
      <c r="A149" s="51" t="s">
        <v>84</v>
      </c>
      <c r="B149" s="52"/>
      <c r="C149" s="53"/>
      <c r="D149" s="4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257</v>
      </c>
      <c r="B150" s="52"/>
      <c r="C150" s="69">
        <v>1808838.07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258</v>
      </c>
      <c r="B151" s="52"/>
      <c r="C151" s="69">
        <v>-22528.77</v>
      </c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54" t="s">
        <v>249</v>
      </c>
      <c r="B152" s="52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239</v>
      </c>
      <c r="B153" s="52"/>
      <c r="C153" s="69"/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83" t="s">
        <v>259</v>
      </c>
      <c r="B154" s="52"/>
      <c r="C154" s="69">
        <f>1174639.32+309594.02-600</f>
        <v>1483633.34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85</v>
      </c>
      <c r="B155" s="52"/>
      <c r="C155" s="69">
        <f>M26+750</f>
        <v>5203968.6999999993</v>
      </c>
      <c r="D155" s="47"/>
      <c r="E155" s="4"/>
      <c r="F155" s="4"/>
      <c r="G155" s="4"/>
      <c r="H155" s="4"/>
      <c r="I155" s="4"/>
      <c r="J155" s="66"/>
      <c r="K155" s="66"/>
      <c r="L155" s="4"/>
    </row>
    <row r="156" spans="1:13" x14ac:dyDescent="0.2">
      <c r="A156" s="54" t="s">
        <v>86</v>
      </c>
      <c r="B156" s="52"/>
      <c r="C156" s="70">
        <f>-M142</f>
        <v>-5279497.6599999992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 t="s">
        <v>87</v>
      </c>
      <c r="B157" s="56"/>
      <c r="C157" s="71">
        <f>SUM(C150:C156)</f>
        <v>3194413.6800000006</v>
      </c>
      <c r="D157" s="4"/>
      <c r="E157" s="4"/>
      <c r="F157" s="4"/>
      <c r="G157" s="4"/>
      <c r="H157" s="4"/>
      <c r="I157" s="4"/>
      <c r="J157" s="66"/>
      <c r="K157" s="66"/>
      <c r="L157" s="4"/>
    </row>
    <row r="158" spans="1:13" ht="15.75" x14ac:dyDescent="0.25">
      <c r="A158" s="55"/>
      <c r="B158" s="56"/>
      <c r="C158" s="71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x14ac:dyDescent="0.2">
      <c r="A159" s="51" t="s">
        <v>88</v>
      </c>
      <c r="B159" s="52"/>
      <c r="C159" s="69"/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147</v>
      </c>
      <c r="B160" s="52"/>
      <c r="C160" s="69">
        <v>276.89999999999998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241</v>
      </c>
      <c r="B161" s="52"/>
      <c r="C161" s="69">
        <v>825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ht="12" customHeight="1" x14ac:dyDescent="0.2">
      <c r="A162" s="54" t="s">
        <v>248</v>
      </c>
      <c r="B162" s="52"/>
      <c r="C162" s="69">
        <v>17454.87</v>
      </c>
      <c r="D162" s="4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150</v>
      </c>
      <c r="B163" s="52"/>
      <c r="C163" s="69">
        <f>7278.01+680.58+3294.56+28.04-0.01-7.37</f>
        <v>11273.81</v>
      </c>
      <c r="D163" s="79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149</v>
      </c>
      <c r="B164" s="52"/>
      <c r="C164" s="69">
        <v>2354.9899999999998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148</v>
      </c>
      <c r="B165" s="52"/>
      <c r="C165" s="69">
        <v>12626.55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 t="s">
        <v>253</v>
      </c>
      <c r="B166" s="52"/>
      <c r="C166" s="69">
        <f>191.14+163.24+150</f>
        <v>504.38</v>
      </c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52"/>
      <c r="C167" s="69"/>
      <c r="D167" s="80"/>
      <c r="E167" s="4"/>
      <c r="F167" s="4"/>
      <c r="G167" s="4"/>
      <c r="H167" s="4"/>
      <c r="I167" s="4"/>
      <c r="J167" s="66"/>
      <c r="K167" s="66"/>
      <c r="L167" s="4"/>
    </row>
    <row r="168" spans="1:13" x14ac:dyDescent="0.2">
      <c r="A168" s="54"/>
      <c r="B168" s="52"/>
      <c r="C168" s="70"/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15.75" x14ac:dyDescent="0.25">
      <c r="A169" s="55"/>
      <c r="B169" s="56"/>
      <c r="C169" s="71">
        <f>SUM(C160:C168)</f>
        <v>45316.499999999993</v>
      </c>
      <c r="D169" s="81"/>
      <c r="E169" s="82"/>
      <c r="F169" s="4"/>
      <c r="G169" s="4"/>
      <c r="H169" s="4"/>
      <c r="I169" s="4"/>
      <c r="J169" s="66"/>
      <c r="K169" s="66"/>
      <c r="L169" s="4"/>
    </row>
    <row r="170" spans="1:13" ht="2.1" customHeight="1" x14ac:dyDescent="0.25">
      <c r="A170" s="55"/>
      <c r="B170" s="56"/>
      <c r="C170" s="72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x14ac:dyDescent="0.2">
      <c r="A171" s="54"/>
      <c r="B171" s="52"/>
      <c r="C171" s="69"/>
      <c r="D171" s="80"/>
      <c r="E171" s="4"/>
      <c r="F171" s="4"/>
      <c r="G171" s="4"/>
      <c r="H171" s="4"/>
      <c r="I171" s="4"/>
      <c r="J171" s="66"/>
      <c r="K171" s="66"/>
      <c r="L171" s="4"/>
    </row>
    <row r="172" spans="1:13" ht="2.1" customHeight="1" thickBot="1" x14ac:dyDescent="0.3">
      <c r="A172" s="57" t="s">
        <v>238</v>
      </c>
      <c r="B172" s="58"/>
      <c r="C172" s="68">
        <f>C157+C169</f>
        <v>3239730.1800000006</v>
      </c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9.9499999999999993" customHeight="1" x14ac:dyDescent="0.2">
      <c r="A173" s="54"/>
      <c r="B173" s="52"/>
      <c r="C173" s="69"/>
      <c r="D173" s="79"/>
      <c r="E173" s="4"/>
      <c r="F173" s="4"/>
      <c r="G173" s="4"/>
      <c r="H173" s="4"/>
      <c r="I173" s="4"/>
      <c r="J173" s="66"/>
      <c r="K173" s="66"/>
      <c r="L173" s="4"/>
    </row>
    <row r="174" spans="1:13" ht="16.5" thickBot="1" x14ac:dyDescent="0.3">
      <c r="A174" s="57" t="s">
        <v>272</v>
      </c>
      <c r="B174" s="58"/>
      <c r="C174" s="68">
        <f>C157+C169</f>
        <v>3239730.1800000006</v>
      </c>
      <c r="D174" s="81"/>
      <c r="E174" s="4"/>
      <c r="F174" s="4"/>
      <c r="G174" s="4"/>
      <c r="H174" s="4"/>
      <c r="I174" s="4"/>
      <c r="J174" s="66"/>
      <c r="K174" s="66"/>
      <c r="L174" s="4"/>
      <c r="M174" s="4"/>
    </row>
    <row r="175" spans="1:13" x14ac:dyDescent="0.2">
      <c r="A175" s="52"/>
      <c r="B175" s="86"/>
      <c r="C175" s="4"/>
      <c r="D175" s="4"/>
      <c r="E175" s="4"/>
      <c r="F175" s="4"/>
      <c r="G175" s="4"/>
      <c r="H175" s="4"/>
      <c r="I175" s="4"/>
      <c r="J175" s="66"/>
      <c r="K175" s="66"/>
      <c r="L175" s="4"/>
    </row>
    <row r="176" spans="1:13" x14ac:dyDescent="0.2">
      <c r="B176" s="86"/>
      <c r="C176" s="87"/>
      <c r="D176" s="4"/>
      <c r="E176" s="4"/>
    </row>
    <row r="177" spans="2:12" x14ac:dyDescent="0.2">
      <c r="C177" s="13"/>
      <c r="D177" s="4"/>
    </row>
    <row r="178" spans="2:12" x14ac:dyDescent="0.2">
      <c r="C178" s="13"/>
      <c r="D178" s="4"/>
    </row>
    <row r="179" spans="2:12" x14ac:dyDescent="0.2">
      <c r="C179" s="14"/>
      <c r="D179" s="4"/>
      <c r="I179" s="4"/>
      <c r="K179" s="66"/>
      <c r="L179" s="4"/>
    </row>
    <row r="180" spans="2:12" x14ac:dyDescent="0.2">
      <c r="C180" s="14"/>
      <c r="D180" s="4"/>
      <c r="I180" s="4"/>
      <c r="K180" s="66"/>
      <c r="L180" s="4"/>
    </row>
    <row r="181" spans="2:12" x14ac:dyDescent="0.2">
      <c r="C181" s="14"/>
      <c r="D181" s="4"/>
      <c r="I181" s="4"/>
      <c r="K181" s="66"/>
      <c r="L181" s="4"/>
    </row>
    <row r="182" spans="2:12" x14ac:dyDescent="0.2">
      <c r="C182" s="14"/>
      <c r="D182" s="4"/>
    </row>
    <row r="183" spans="2:12" x14ac:dyDescent="0.2">
      <c r="C183" s="14"/>
      <c r="D183" s="4"/>
    </row>
    <row r="184" spans="2:12" x14ac:dyDescent="0.2">
      <c r="C184" s="14"/>
      <c r="D184" s="4"/>
    </row>
    <row r="185" spans="2:12" x14ac:dyDescent="0.2">
      <c r="C185" s="14"/>
      <c r="D185" s="4"/>
    </row>
    <row r="186" spans="2:12" x14ac:dyDescent="0.2">
      <c r="D186" s="4"/>
    </row>
    <row r="187" spans="2:12" x14ac:dyDescent="0.2">
      <c r="D187" s="4"/>
    </row>
    <row r="188" spans="2:12" x14ac:dyDescent="0.2">
      <c r="B188" s="84" t="s">
        <v>254</v>
      </c>
      <c r="C188" s="85" t="s">
        <v>255</v>
      </c>
      <c r="E188" s="85"/>
      <c r="G188" s="84" t="s">
        <v>260</v>
      </c>
      <c r="J188" s="85" t="s">
        <v>252</v>
      </c>
      <c r="K188" s="74"/>
    </row>
    <row r="189" spans="2:12" x14ac:dyDescent="0.2">
      <c r="B189" s="84" t="s">
        <v>89</v>
      </c>
      <c r="C189" s="85" t="s">
        <v>261</v>
      </c>
      <c r="E189" s="85"/>
      <c r="G189" s="84" t="s">
        <v>247</v>
      </c>
      <c r="J189" s="84" t="s">
        <v>242</v>
      </c>
    </row>
    <row r="193" spans="7:12" x14ac:dyDescent="0.2">
      <c r="I193" s="4"/>
      <c r="K193" s="66"/>
      <c r="L193" s="4"/>
    </row>
    <row r="194" spans="7:12" x14ac:dyDescent="0.2">
      <c r="I194" s="4"/>
      <c r="K194" s="66"/>
      <c r="L194" s="4"/>
    </row>
    <row r="195" spans="7:12" x14ac:dyDescent="0.2">
      <c r="G195" s="59"/>
      <c r="I195" s="59"/>
      <c r="K195" s="67"/>
      <c r="L195" s="4"/>
    </row>
    <row r="196" spans="7:12" x14ac:dyDescent="0.2">
      <c r="G196" s="59"/>
      <c r="I196" s="59"/>
      <c r="K196" s="67"/>
      <c r="L196" s="4"/>
    </row>
    <row r="197" spans="7:12" x14ac:dyDescent="0.2">
      <c r="G197" s="59"/>
      <c r="L197" s="4"/>
    </row>
    <row r="198" spans="7:12" x14ac:dyDescent="0.2">
      <c r="G198" s="59"/>
    </row>
    <row r="199" spans="7:12" x14ac:dyDescent="0.2">
      <c r="G199" s="59"/>
    </row>
    <row r="200" spans="7:12" x14ac:dyDescent="0.2">
      <c r="G200" s="59"/>
      <c r="L200" s="4"/>
    </row>
    <row r="201" spans="7:12" x14ac:dyDescent="0.2">
      <c r="G201" s="59"/>
    </row>
    <row r="202" spans="7:12" x14ac:dyDescent="0.2">
      <c r="G202" s="59"/>
    </row>
    <row r="203" spans="7:12" x14ac:dyDescent="0.2">
      <c r="G203" s="59"/>
    </row>
    <row r="204" spans="7:12" x14ac:dyDescent="0.2">
      <c r="G204" s="59"/>
    </row>
    <row r="205" spans="7:12" x14ac:dyDescent="0.2">
      <c r="G205" s="59"/>
    </row>
    <row r="206" spans="7:12" x14ac:dyDescent="0.2">
      <c r="G206" s="59"/>
    </row>
    <row r="207" spans="7:12" x14ac:dyDescent="0.2">
      <c r="G207" s="59"/>
    </row>
    <row r="208" spans="7:1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60" r:id="rId1"/>
  <rowBreaks count="2" manualBreakCount="2">
    <brk id="56" max="16383" man="1"/>
    <brk id="121" max="16383" man="1"/>
  </rowBreaks>
  <ignoredErrors>
    <ignoredError sqref="L64 L73 L75 M26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C12659-C154-479D-8372-6A33EC541F7D}">
  <dimension ref="A1:Q212"/>
  <sheetViews>
    <sheetView topLeftCell="A145" zoomScaleNormal="100" workbookViewId="0">
      <selection activeCell="C166" sqref="C166"/>
    </sheetView>
  </sheetViews>
  <sheetFormatPr baseColWidth="10" defaultColWidth="11.42578125" defaultRowHeight="15" x14ac:dyDescent="0.2"/>
  <cols>
    <col min="1" max="1" width="11.7109375" style="11" customWidth="1"/>
    <col min="2" max="2" width="50.7109375" style="11" customWidth="1"/>
    <col min="3" max="3" width="16.42578125" style="11" customWidth="1"/>
    <col min="4" max="4" width="13" style="11" customWidth="1"/>
    <col min="5" max="5" width="15.28515625" style="11" customWidth="1"/>
    <col min="6" max="8" width="16.42578125" style="11" customWidth="1"/>
    <col min="9" max="9" width="17.28515625" style="11" customWidth="1"/>
    <col min="10" max="11" width="13.42578125" style="52" customWidth="1"/>
    <col min="12" max="14" width="16.42578125" style="11" customWidth="1"/>
    <col min="15" max="15" width="10.7109375" style="11" customWidth="1"/>
    <col min="16" max="16" width="11.42578125" style="11"/>
    <col min="17" max="17" width="16" style="11" bestFit="1" customWidth="1"/>
    <col min="18" max="16384" width="11.42578125" style="11"/>
  </cols>
  <sheetData>
    <row r="1" spans="1:15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"/>
      <c r="M1" s="6"/>
      <c r="N1" s="6"/>
      <c r="O1" s="15"/>
    </row>
    <row r="2" spans="1:15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"/>
      <c r="M2" s="6"/>
      <c r="N2" s="6"/>
      <c r="O2" s="15"/>
    </row>
    <row r="3" spans="1:15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"/>
      <c r="M3" s="6"/>
      <c r="N3" s="6"/>
      <c r="O3" s="15"/>
    </row>
    <row r="4" spans="1:15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"/>
      <c r="M4" s="6"/>
      <c r="N4" s="6"/>
      <c r="O4" s="15"/>
    </row>
    <row r="5" spans="1:15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15"/>
      <c r="M5" s="15"/>
      <c r="N5" s="15"/>
      <c r="O5" s="15"/>
    </row>
    <row r="6" spans="1:15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6" t="s">
        <v>5</v>
      </c>
      <c r="M6" s="130" t="s">
        <v>240</v>
      </c>
      <c r="N6" s="16" t="s">
        <v>8</v>
      </c>
      <c r="O6" s="16" t="s">
        <v>9</v>
      </c>
    </row>
    <row r="7" spans="1:15" ht="16.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21" t="s">
        <v>13</v>
      </c>
      <c r="J7" s="61" t="s">
        <v>12</v>
      </c>
      <c r="K7" s="73" t="s">
        <v>13</v>
      </c>
      <c r="L7" s="19" t="s">
        <v>14</v>
      </c>
      <c r="M7" s="131"/>
      <c r="N7" s="19" t="s">
        <v>15</v>
      </c>
      <c r="O7" s="19" t="s">
        <v>16</v>
      </c>
    </row>
    <row r="8" spans="1:15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23"/>
      <c r="M8" s="23"/>
      <c r="N8" s="23"/>
      <c r="O8" s="24"/>
    </row>
    <row r="9" spans="1:15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28"/>
      <c r="M9" s="28"/>
      <c r="N9" s="28"/>
      <c r="O9" s="27"/>
    </row>
    <row r="10" spans="1:15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28">
        <f>C10+D10-E10+F10-G10+J10-K10</f>
        <v>37000</v>
      </c>
      <c r="M10" s="28">
        <f>11600+4601+400+1200+1000+3200+1200+6000</f>
        <v>29201</v>
      </c>
      <c r="N10" s="28">
        <f t="shared" ref="N10:N22" si="0">L10-M10</f>
        <v>7799</v>
      </c>
      <c r="O10" s="27">
        <f>M10/$M$26</f>
        <v>5.0465132081236978E-3</v>
      </c>
    </row>
    <row r="11" spans="1:15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28">
        <f>C11+D11-E11+F11-G11+J11-K11</f>
        <v>0</v>
      </c>
      <c r="M11" s="28"/>
      <c r="N11" s="28">
        <v>0</v>
      </c>
      <c r="O11" s="27"/>
    </row>
    <row r="12" spans="1:15" ht="35.25" customHeight="1" x14ac:dyDescent="0.25">
      <c r="A12" s="29" t="s">
        <v>18</v>
      </c>
      <c r="B12" s="100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28">
        <f>C12+D12-E12+F12-G12+H12+J12-K12</f>
        <v>30500</v>
      </c>
      <c r="M12" s="28">
        <f>0.41+2100+8580+8075</f>
        <v>18755.41</v>
      </c>
      <c r="N12" s="28">
        <f t="shared" si="0"/>
        <v>11744.59</v>
      </c>
      <c r="O12" s="27">
        <f>M12/$M$26</f>
        <v>3.2413076363403746E-3</v>
      </c>
    </row>
    <row r="13" spans="1:15" ht="33.75" customHeight="1" x14ac:dyDescent="0.25">
      <c r="A13" s="29" t="s">
        <v>19</v>
      </c>
      <c r="B13" s="100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28">
        <f>C13+D13-E13+F13-G13+J13-K13</f>
        <v>3500</v>
      </c>
      <c r="M13" s="28"/>
      <c r="N13" s="28">
        <f t="shared" si="0"/>
        <v>3500</v>
      </c>
      <c r="O13" s="27">
        <f>M13/$M$26</f>
        <v>0</v>
      </c>
    </row>
    <row r="14" spans="1:15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28"/>
      <c r="M14" s="28"/>
      <c r="N14" s="28"/>
      <c r="O14" s="27"/>
    </row>
    <row r="15" spans="1:15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28">
        <f>C15+D15-E15+F15-G15+H15+J15-K15</f>
        <v>8800</v>
      </c>
      <c r="M15" s="28">
        <f>722.57+661.17+900.19+486.53+213.8+380.65+2131.27+14931.79</f>
        <v>20427.97</v>
      </c>
      <c r="N15" s="28">
        <f t="shared" si="0"/>
        <v>-11627.970000000001</v>
      </c>
      <c r="O15" s="27">
        <f>M15/$M$26</f>
        <v>3.5303592486611644E-3</v>
      </c>
    </row>
    <row r="16" spans="1:15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28"/>
      <c r="M16" s="28"/>
      <c r="N16" s="28"/>
      <c r="O16" s="27"/>
    </row>
    <row r="17" spans="1:17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28"/>
      <c r="M17" s="28"/>
      <c r="N17" s="28"/>
      <c r="O17" s="27"/>
    </row>
    <row r="18" spans="1:17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28">
        <f>C18+D18-E18+F18-G18+H18-I18+J18-I18-K18</f>
        <v>3968096.55</v>
      </c>
      <c r="M18" s="28">
        <f>249714.95+226495.4+345713.01+485074.38+299450.28+275080.68+364285.79+364285.79</f>
        <v>2610100.2799999998</v>
      </c>
      <c r="N18" s="28">
        <f t="shared" si="0"/>
        <v>1357996.27</v>
      </c>
      <c r="O18" s="27">
        <f>M18/$M$26</f>
        <v>0.4510772075458841</v>
      </c>
    </row>
    <row r="19" spans="1:17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28">
        <f>C19+D19-E19+F19-G19+J19-K19</f>
        <v>0</v>
      </c>
      <c r="M19" s="28"/>
      <c r="N19" s="28">
        <f t="shared" si="0"/>
        <v>0</v>
      </c>
      <c r="O19" s="27">
        <f>M19/$M$26</f>
        <v>0</v>
      </c>
    </row>
    <row r="20" spans="1:17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28">
        <f>C20+D20-E20+F20-G20+H20-I20+J20-K20</f>
        <v>4261525.5600000005</v>
      </c>
      <c r="M20" s="28">
        <f>1675317.32+161001.87+979785.53+101921.9+189860.18</f>
        <v>3107886.8</v>
      </c>
      <c r="N20" s="28">
        <f t="shared" si="0"/>
        <v>1153638.7600000007</v>
      </c>
      <c r="O20" s="27">
        <f>M20/$M$26</f>
        <v>0.53710461236099083</v>
      </c>
    </row>
    <row r="21" spans="1:17" ht="15.95" customHeight="1" x14ac:dyDescent="0.25">
      <c r="A21" s="29" t="s">
        <v>25</v>
      </c>
      <c r="B21" s="29" t="s">
        <v>26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28">
        <f>C21+D21-E21+F21-G21+J21-K21</f>
        <v>20000</v>
      </c>
      <c r="M21" s="28"/>
      <c r="N21" s="28">
        <f t="shared" si="0"/>
        <v>20000</v>
      </c>
      <c r="O21" s="27">
        <f>M21/$M$26</f>
        <v>0</v>
      </c>
      <c r="Q21" s="14"/>
    </row>
    <row r="22" spans="1:17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28">
        <f>C22+D22-E22+F22-G22+J22-K22</f>
        <v>50000</v>
      </c>
      <c r="M22" s="28"/>
      <c r="N22" s="28">
        <f t="shared" si="0"/>
        <v>50000</v>
      </c>
      <c r="O22" s="27">
        <f>M22/$M$26</f>
        <v>0</v>
      </c>
    </row>
    <row r="23" spans="1:17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26"/>
      <c r="M23" s="28"/>
      <c r="N23" s="26"/>
      <c r="O23" s="27"/>
    </row>
    <row r="24" spans="1:17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28">
        <f>C24+D24-E24+F24-G24+J24-K24</f>
        <v>260547.84</v>
      </c>
      <c r="M24" s="28"/>
      <c r="N24" s="28">
        <f>L24-M24</f>
        <v>260547.84</v>
      </c>
      <c r="O24" s="27">
        <f>M24/$M$26</f>
        <v>0</v>
      </c>
    </row>
    <row r="25" spans="1:17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28">
        <f>C25+D25-E25+F25-G25+J25-K25</f>
        <v>2274050.3800000004</v>
      </c>
      <c r="M25" s="28"/>
      <c r="N25" s="28">
        <f>L25-M25</f>
        <v>2274050.3800000004</v>
      </c>
      <c r="O25" s="27">
        <f>M25/$M$26</f>
        <v>0</v>
      </c>
    </row>
    <row r="26" spans="1:17" ht="18" customHeight="1" thickBot="1" x14ac:dyDescent="0.3">
      <c r="A26" s="32"/>
      <c r="B26" s="33" t="s">
        <v>32</v>
      </c>
      <c r="C26" s="34">
        <f t="shared" ref="C26:L26" si="1">SUM(C9:C25)</f>
        <v>8258523.620000001</v>
      </c>
      <c r="D26" s="34">
        <f t="shared" si="1"/>
        <v>0</v>
      </c>
      <c r="E26" s="34">
        <f t="shared" si="1"/>
        <v>0</v>
      </c>
      <c r="F26" s="34">
        <f t="shared" si="1"/>
        <v>0</v>
      </c>
      <c r="G26" s="34">
        <f t="shared" si="1"/>
        <v>0</v>
      </c>
      <c r="H26" s="34">
        <f t="shared" si="1"/>
        <v>2655496.71</v>
      </c>
      <c r="I26" s="34">
        <f t="shared" si="1"/>
        <v>0</v>
      </c>
      <c r="J26" s="34">
        <f t="shared" si="1"/>
        <v>0</v>
      </c>
      <c r="K26" s="34">
        <f t="shared" si="1"/>
        <v>0</v>
      </c>
      <c r="L26" s="34">
        <f t="shared" si="1"/>
        <v>10914020.330000002</v>
      </c>
      <c r="M26" s="34">
        <f>SUM(M10:M25)</f>
        <v>5786371.459999999</v>
      </c>
      <c r="N26" s="34">
        <f>SUM(N9:N25)</f>
        <v>5127648.870000001</v>
      </c>
      <c r="O26" s="27"/>
      <c r="Q26" s="4"/>
    </row>
    <row r="27" spans="1:17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36"/>
      <c r="M27" s="36"/>
      <c r="N27" s="36"/>
      <c r="O27" s="37"/>
    </row>
    <row r="28" spans="1:17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28"/>
      <c r="M28" s="28"/>
      <c r="N28" s="28"/>
      <c r="O28" s="38"/>
      <c r="Q28" s="4"/>
    </row>
    <row r="29" spans="1:17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28"/>
      <c r="M29" s="28"/>
      <c r="N29" s="28"/>
      <c r="O29" s="38"/>
    </row>
    <row r="30" spans="1:17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28"/>
      <c r="M30" s="28"/>
      <c r="N30" s="28"/>
      <c r="O30" s="38"/>
    </row>
    <row r="31" spans="1:17" ht="15.95" customHeight="1" x14ac:dyDescent="0.2">
      <c r="A31" s="41" t="s">
        <v>36</v>
      </c>
      <c r="B31" s="29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28">
        <f>C31+D31-E31+F31-G31+H31+J31-I31-K31</f>
        <v>846201.45000000007</v>
      </c>
      <c r="M31" s="28">
        <f>59982.77+68194.09+68194.09+68194.09+68194.09+68194.09+66556.88+68194.09</f>
        <v>535704.18999999994</v>
      </c>
      <c r="N31" s="28">
        <f t="shared" ref="N31:N101" si="2">L31-M31</f>
        <v>310497.26000000013</v>
      </c>
      <c r="O31" s="38">
        <f>M31/$M$142</f>
        <v>9.5344219761663684E-2</v>
      </c>
    </row>
    <row r="32" spans="1:17" ht="34.5" customHeight="1" x14ac:dyDescent="0.2">
      <c r="A32" s="41" t="s">
        <v>37</v>
      </c>
      <c r="B32" s="100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28">
        <f>C32+D32-E32+F32-G32+H32+J32-K32</f>
        <v>13700</v>
      </c>
      <c r="M32" s="28">
        <f>750+750+750+750+750+750+750+750</f>
        <v>6000</v>
      </c>
      <c r="N32" s="28">
        <f t="shared" si="2"/>
        <v>7700</v>
      </c>
      <c r="O32" s="38">
        <f>M32/$M$142</f>
        <v>1.0678753857982374E-3</v>
      </c>
    </row>
    <row r="33" spans="1:15" ht="35.25" customHeight="1" x14ac:dyDescent="0.2">
      <c r="A33" s="41" t="s">
        <v>38</v>
      </c>
      <c r="B33" s="100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28">
        <f>C33+D33-E33+F33-G33+H33+J33-K33</f>
        <v>311100</v>
      </c>
      <c r="M33" s="28">
        <f>18899+21149+21149+21149+21149+21149+20477.33+21149</f>
        <v>166270.33000000002</v>
      </c>
      <c r="N33" s="28">
        <f t="shared" si="2"/>
        <v>144829.66999999998</v>
      </c>
      <c r="O33" s="38">
        <f>M33/$M$142</f>
        <v>2.9592665465925039E-2</v>
      </c>
    </row>
    <row r="34" spans="1:15" ht="15.95" customHeight="1" x14ac:dyDescent="0.3">
      <c r="A34" s="41" t="s">
        <v>250</v>
      </c>
      <c r="B34" s="29" t="s">
        <v>251</v>
      </c>
      <c r="C34" s="28"/>
      <c r="D34" s="28"/>
      <c r="E34" s="28"/>
      <c r="F34" s="44"/>
      <c r="G34" s="44"/>
      <c r="H34" s="28"/>
      <c r="I34" s="28"/>
      <c r="J34" s="44"/>
      <c r="K34" s="44"/>
      <c r="L34" s="28">
        <f>C34+D34-E34+F34-G34+H34+J34-K34</f>
        <v>0</v>
      </c>
      <c r="M34" s="28"/>
      <c r="N34" s="28">
        <f t="shared" si="2"/>
        <v>0</v>
      </c>
      <c r="O34" s="38"/>
    </row>
    <row r="35" spans="1:15" ht="15.95" customHeight="1" x14ac:dyDescent="0.2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28">
        <f>C35+D35-E35+F35-G35+H35-I35+J35-K35</f>
        <v>15400</v>
      </c>
      <c r="M35" s="28"/>
      <c r="N35" s="28">
        <f t="shared" si="2"/>
        <v>15400</v>
      </c>
      <c r="O35" s="38">
        <f t="shared" ref="O35:O42" si="3">M35/$M$142</f>
        <v>0</v>
      </c>
    </row>
    <row r="36" spans="1:15" ht="15.95" customHeight="1" x14ac:dyDescent="0.2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28">
        <f t="shared" ref="L36:L42" si="4">C36+D36-E36+F36-G36+H36+J36-K36</f>
        <v>32500</v>
      </c>
      <c r="M36" s="28">
        <f>540+1620+1620+2340+2520+2160+2520+2340</f>
        <v>15660</v>
      </c>
      <c r="N36" s="28">
        <f t="shared" si="2"/>
        <v>16840</v>
      </c>
      <c r="O36" s="38">
        <f t="shared" si="3"/>
        <v>2.7871547569333992E-3</v>
      </c>
    </row>
    <row r="37" spans="1:15" ht="15.95" customHeight="1" x14ac:dyDescent="0.2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28">
        <f t="shared" si="4"/>
        <v>34510.800000000003</v>
      </c>
      <c r="M37" s="28">
        <f>818.04+1159.97+2178.62+1623.62+1501.35+1198.23</f>
        <v>8479.83</v>
      </c>
      <c r="N37" s="28">
        <f t="shared" si="2"/>
        <v>26030.97</v>
      </c>
      <c r="O37" s="38">
        <f t="shared" si="3"/>
        <v>1.5092336221255776E-3</v>
      </c>
    </row>
    <row r="38" spans="1:15" ht="15.95" customHeight="1" x14ac:dyDescent="0.2">
      <c r="A38" s="41" t="s">
        <v>42</v>
      </c>
      <c r="B38" s="29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28">
        <f t="shared" si="4"/>
        <v>115401.15</v>
      </c>
      <c r="M38" s="28">
        <f>6400.16+7276.31+7363.59+7400.08+7508.77+7449.55+7278.01+7404.16</f>
        <v>58080.630000000005</v>
      </c>
      <c r="N38" s="28">
        <f t="shared" si="2"/>
        <v>57320.51999999999</v>
      </c>
      <c r="O38" s="38">
        <f t="shared" si="3"/>
        <v>1.0337145861442446E-2</v>
      </c>
    </row>
    <row r="39" spans="1:15" ht="15.95" customHeight="1" x14ac:dyDescent="0.2">
      <c r="A39" s="41" t="s">
        <v>43</v>
      </c>
      <c r="B39" s="29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28">
        <f t="shared" si="4"/>
        <v>15190.84</v>
      </c>
      <c r="M39" s="28">
        <f>599.83+681.94+690.12+693.54+703.73+698.18+680.58+693.92</f>
        <v>5441.84</v>
      </c>
      <c r="N39" s="28">
        <f t="shared" si="2"/>
        <v>9749</v>
      </c>
      <c r="O39" s="38">
        <f t="shared" si="3"/>
        <v>9.6853449824204664E-4</v>
      </c>
    </row>
    <row r="40" spans="1:15" ht="15.95" customHeight="1" x14ac:dyDescent="0.2">
      <c r="A40" s="41" t="s">
        <v>44</v>
      </c>
      <c r="B40" s="29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28">
        <f t="shared" si="4"/>
        <v>75581.009999999995</v>
      </c>
      <c r="M40" s="28"/>
      <c r="N40" s="28">
        <f t="shared" si="2"/>
        <v>75581.009999999995</v>
      </c>
      <c r="O40" s="38">
        <f t="shared" si="3"/>
        <v>0</v>
      </c>
    </row>
    <row r="41" spans="1:15" ht="15.95" customHeight="1" x14ac:dyDescent="0.2">
      <c r="A41" s="41" t="s">
        <v>46</v>
      </c>
      <c r="B41" s="29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28">
        <f t="shared" si="4"/>
        <v>75581.009999999995</v>
      </c>
      <c r="M41" s="28">
        <v>62710.39</v>
      </c>
      <c r="N41" s="28">
        <f t="shared" si="2"/>
        <v>12870.619999999995</v>
      </c>
      <c r="O41" s="38">
        <f t="shared" si="3"/>
        <v>1.1161146985801319E-2</v>
      </c>
    </row>
    <row r="42" spans="1:15" ht="15.95" customHeight="1" x14ac:dyDescent="0.2">
      <c r="A42" s="41" t="s">
        <v>47</v>
      </c>
      <c r="B42" s="29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28">
        <f t="shared" si="4"/>
        <v>5000</v>
      </c>
      <c r="M42" s="28"/>
      <c r="N42" s="28">
        <f t="shared" si="2"/>
        <v>5000</v>
      </c>
      <c r="O42" s="38">
        <f t="shared" si="3"/>
        <v>0</v>
      </c>
    </row>
    <row r="43" spans="1:15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28"/>
      <c r="M43" s="28"/>
      <c r="N43" s="28"/>
      <c r="O43" s="38"/>
    </row>
    <row r="44" spans="1:15" ht="15.95" customHeight="1" x14ac:dyDescent="0.2">
      <c r="A44" s="41"/>
      <c r="B44" s="29"/>
      <c r="C44" s="28"/>
      <c r="D44" s="28"/>
      <c r="E44" s="28"/>
      <c r="F44" s="44"/>
      <c r="G44" s="44"/>
      <c r="H44" s="28"/>
      <c r="I44" s="28"/>
      <c r="J44" s="44"/>
      <c r="K44" s="44"/>
      <c r="L44" s="28"/>
      <c r="M44" s="28"/>
      <c r="N44" s="28"/>
      <c r="O44" s="38"/>
    </row>
    <row r="45" spans="1:15" ht="15.95" customHeight="1" x14ac:dyDescent="0.25">
      <c r="A45" s="39">
        <v>1</v>
      </c>
      <c r="B45" s="40" t="s">
        <v>49</v>
      </c>
      <c r="C45" s="26"/>
      <c r="D45" s="28"/>
      <c r="E45" s="28"/>
      <c r="F45" s="44"/>
      <c r="G45" s="44"/>
      <c r="H45" s="28"/>
      <c r="I45" s="28"/>
      <c r="J45" s="44"/>
      <c r="K45" s="44"/>
      <c r="L45" s="28"/>
      <c r="M45" s="28"/>
      <c r="N45" s="28"/>
      <c r="O45" s="38"/>
    </row>
    <row r="46" spans="1:15" ht="15.95" customHeight="1" x14ac:dyDescent="0.2">
      <c r="A46" s="41" t="s">
        <v>91</v>
      </c>
      <c r="B46" s="29" t="s">
        <v>50</v>
      </c>
      <c r="C46" s="28">
        <v>13750</v>
      </c>
      <c r="D46" s="28"/>
      <c r="E46" s="28"/>
      <c r="F46" s="44"/>
      <c r="G46" s="44"/>
      <c r="H46" s="28"/>
      <c r="I46" s="28"/>
      <c r="J46" s="44"/>
      <c r="K46" s="44"/>
      <c r="L46" s="28">
        <f>C46+D46-E46+F46-G46+H46+J46-K46</f>
        <v>13750</v>
      </c>
      <c r="M46" s="28">
        <f>346.37+964.95+1334.04+944.75+883.05+1335.08+1067.89+1359.73</f>
        <v>8235.86</v>
      </c>
      <c r="N46" s="28">
        <f t="shared" si="2"/>
        <v>5514.1399999999994</v>
      </c>
      <c r="O46" s="38">
        <f t="shared" ref="O46:O55" si="5">M46/$M$142</f>
        <v>1.4658120291467119E-3</v>
      </c>
    </row>
    <row r="47" spans="1:15" ht="15.95" customHeight="1" x14ac:dyDescent="0.2">
      <c r="A47" s="41" t="s">
        <v>92</v>
      </c>
      <c r="B47" s="29" t="s">
        <v>51</v>
      </c>
      <c r="C47" s="28">
        <v>26100</v>
      </c>
      <c r="D47" s="28"/>
      <c r="E47" s="28"/>
      <c r="F47" s="44"/>
      <c r="G47" s="44"/>
      <c r="H47" s="28"/>
      <c r="I47" s="28"/>
      <c r="J47" s="44"/>
      <c r="K47" s="44"/>
      <c r="L47" s="28">
        <f>C47+D47-E47+F47-G47+H47+J47-K47</f>
        <v>26100</v>
      </c>
      <c r="M47" s="28">
        <f>7409.06+619.68+618+618+625.84+699.26+90+1218.83</f>
        <v>11898.670000000002</v>
      </c>
      <c r="N47" s="28">
        <f t="shared" si="2"/>
        <v>14201.329999999998</v>
      </c>
      <c r="O47" s="38">
        <f t="shared" si="5"/>
        <v>2.1177161361226522E-3</v>
      </c>
    </row>
    <row r="48" spans="1:15" ht="15.95" customHeight="1" x14ac:dyDescent="0.2">
      <c r="A48" s="41" t="s">
        <v>93</v>
      </c>
      <c r="B48" s="29" t="s">
        <v>52</v>
      </c>
      <c r="C48" s="28">
        <v>2000</v>
      </c>
      <c r="D48" s="28"/>
      <c r="E48" s="28"/>
      <c r="F48" s="44"/>
      <c r="G48" s="44"/>
      <c r="H48" s="28"/>
      <c r="I48" s="28"/>
      <c r="J48" s="44"/>
      <c r="K48" s="44"/>
      <c r="L48" s="28">
        <f>C48+D48-E48+F48-G48+H48+J48-K48</f>
        <v>2000</v>
      </c>
      <c r="M48" s="28">
        <f>469.55+470.27+568.5</f>
        <v>1508.32</v>
      </c>
      <c r="N48" s="28">
        <f t="shared" si="2"/>
        <v>491.68000000000006</v>
      </c>
      <c r="O48" s="38">
        <f t="shared" si="5"/>
        <v>2.6844963365119952E-4</v>
      </c>
    </row>
    <row r="49" spans="1:15" ht="15.95" customHeight="1" x14ac:dyDescent="0.2">
      <c r="A49" s="41" t="s">
        <v>94</v>
      </c>
      <c r="B49" s="29" t="s">
        <v>159</v>
      </c>
      <c r="C49" s="28">
        <v>8000</v>
      </c>
      <c r="D49" s="28"/>
      <c r="E49" s="28"/>
      <c r="F49" s="44"/>
      <c r="G49" s="44"/>
      <c r="H49" s="28"/>
      <c r="I49" s="28"/>
      <c r="J49" s="44"/>
      <c r="K49" s="44"/>
      <c r="L49" s="28">
        <f>C49+D49-E49+F49-G49+H49+J49-K49</f>
        <v>8000</v>
      </c>
      <c r="M49" s="28">
        <f>2040+1025</f>
        <v>3065</v>
      </c>
      <c r="N49" s="28">
        <f t="shared" si="2"/>
        <v>4935</v>
      </c>
      <c r="O49" s="38">
        <f t="shared" si="5"/>
        <v>5.4550634291193286E-4</v>
      </c>
    </row>
    <row r="50" spans="1:15" ht="15.95" customHeight="1" x14ac:dyDescent="0.2">
      <c r="A50" s="41" t="s">
        <v>95</v>
      </c>
      <c r="B50" s="29" t="s">
        <v>160</v>
      </c>
      <c r="C50" s="28">
        <v>14250</v>
      </c>
      <c r="D50" s="28"/>
      <c r="E50" s="28"/>
      <c r="F50" s="44"/>
      <c r="G50" s="44"/>
      <c r="H50" s="28"/>
      <c r="I50" s="28"/>
      <c r="J50" s="44"/>
      <c r="K50" s="44"/>
      <c r="L50" s="28">
        <f>C50+D50-E50+F50-G50+H50+J50-K50</f>
        <v>14250</v>
      </c>
      <c r="M50" s="28">
        <f>295.35+1954+176.7+106.7+241.8+2572.6+116.4+2663.2</f>
        <v>8126.7499999999991</v>
      </c>
      <c r="N50" s="28">
        <f t="shared" si="2"/>
        <v>6123.2500000000009</v>
      </c>
      <c r="O50" s="38">
        <f t="shared" si="5"/>
        <v>1.4463927152559707E-3</v>
      </c>
    </row>
    <row r="51" spans="1:15" ht="15.95" customHeight="1" x14ac:dyDescent="0.2">
      <c r="A51" s="41" t="s">
        <v>96</v>
      </c>
      <c r="B51" s="29" t="s">
        <v>161</v>
      </c>
      <c r="C51" s="28">
        <v>673088.47</v>
      </c>
      <c r="D51" s="28"/>
      <c r="E51" s="28"/>
      <c r="F51" s="44">
        <v>300000</v>
      </c>
      <c r="G51" s="44"/>
      <c r="H51" s="28">
        <v>1130902.48</v>
      </c>
      <c r="I51" s="28"/>
      <c r="J51" s="44"/>
      <c r="K51" s="44"/>
      <c r="L51" s="28">
        <f>C51+D51-E51+F51-G51+H51-I51+J51-K51</f>
        <v>2103990.9500000002</v>
      </c>
      <c r="M51" s="28">
        <f>52511.08+370815.32+121201.74+589744.16+223388.71+102865.5+143719.67</f>
        <v>1604246.18</v>
      </c>
      <c r="N51" s="28">
        <f t="shared" si="2"/>
        <v>499744.77000000025</v>
      </c>
      <c r="O51" s="38">
        <f t="shared" si="5"/>
        <v>0.28552250139714136</v>
      </c>
    </row>
    <row r="52" spans="1:15" ht="15.95" customHeight="1" x14ac:dyDescent="0.2">
      <c r="A52" s="41" t="s">
        <v>97</v>
      </c>
      <c r="B52" s="29" t="s">
        <v>53</v>
      </c>
      <c r="C52" s="28">
        <v>563742.69999999995</v>
      </c>
      <c r="D52" s="28"/>
      <c r="E52" s="28"/>
      <c r="F52" s="44"/>
      <c r="G52" s="44">
        <v>300000</v>
      </c>
      <c r="H52" s="28">
        <v>293382.87</v>
      </c>
      <c r="I52" s="28"/>
      <c r="J52" s="44"/>
      <c r="K52" s="44"/>
      <c r="L52" s="28">
        <f>C52+D52-E52+F52-G52+H52+J52-K52</f>
        <v>557125.56999999995</v>
      </c>
      <c r="M52" s="28">
        <f>3740.5+87744.2+10441.24+13388.35+26181.25+2623.51+12650.39+13753.12</f>
        <v>170522.56</v>
      </c>
      <c r="N52" s="28">
        <f t="shared" si="2"/>
        <v>386603.00999999995</v>
      </c>
      <c r="O52" s="38">
        <f t="shared" si="5"/>
        <v>3.0349474091217177E-2</v>
      </c>
    </row>
    <row r="53" spans="1:15" ht="15.95" customHeight="1" x14ac:dyDescent="0.2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28">
        <f>C53+D53-E53+F53-G53+H53+J53-K53</f>
        <v>1319049.7</v>
      </c>
      <c r="M53" s="28">
        <f>48849.92+109313.99+1000+269983.68+113656.54+159346.92+28688.41+42787.97</f>
        <v>773627.43</v>
      </c>
      <c r="N53" s="28">
        <f t="shared" si="2"/>
        <v>545422.2699999999</v>
      </c>
      <c r="O53" s="38">
        <f t="shared" si="5"/>
        <v>0.13768961504589147</v>
      </c>
    </row>
    <row r="54" spans="1:15" ht="15.95" customHeight="1" x14ac:dyDescent="0.2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28">
        <f>C54+D54-E54+F54-G54+H54+J54-I54-K54</f>
        <v>225000</v>
      </c>
      <c r="M54" s="28">
        <v>84616</v>
      </c>
      <c r="N54" s="28">
        <f t="shared" si="2"/>
        <v>140384</v>
      </c>
      <c r="O54" s="38">
        <f t="shared" si="5"/>
        <v>1.5059890607450607E-2</v>
      </c>
    </row>
    <row r="55" spans="1:15" ht="15.95" customHeight="1" x14ac:dyDescent="0.2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28">
        <f>C55+D55-E55+F55-G55+H55+J55-I55-K55</f>
        <v>75000</v>
      </c>
      <c r="M55" s="28"/>
      <c r="N55" s="28">
        <f t="shared" si="2"/>
        <v>75000</v>
      </c>
      <c r="O55" s="38">
        <f t="shared" si="5"/>
        <v>0</v>
      </c>
    </row>
    <row r="56" spans="1:15" ht="15.95" customHeight="1" x14ac:dyDescent="0.2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28">
        <f t="shared" ref="L56:L63" si="6">C56+D56-E56+F56-G56+H56+J56-K56</f>
        <v>90000</v>
      </c>
      <c r="M56" s="28"/>
      <c r="N56" s="28">
        <f t="shared" si="2"/>
        <v>90000</v>
      </c>
      <c r="O56" s="38"/>
    </row>
    <row r="57" spans="1:15" ht="15.95" customHeight="1" x14ac:dyDescent="0.2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28">
        <f t="shared" si="6"/>
        <v>10400</v>
      </c>
      <c r="M57" s="28">
        <v>7600</v>
      </c>
      <c r="N57" s="28">
        <f t="shared" si="2"/>
        <v>2800</v>
      </c>
      <c r="O57" s="38">
        <f t="shared" ref="O57:O62" si="7">M57/$M$142</f>
        <v>1.352642155344434E-3</v>
      </c>
    </row>
    <row r="58" spans="1:15" ht="15.95" customHeight="1" x14ac:dyDescent="0.2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28">
        <f t="shared" si="6"/>
        <v>3004.32</v>
      </c>
      <c r="M58" s="28"/>
      <c r="N58" s="28">
        <f t="shared" si="2"/>
        <v>3004.32</v>
      </c>
      <c r="O58" s="38">
        <f t="shared" si="7"/>
        <v>0</v>
      </c>
    </row>
    <row r="59" spans="1:15" ht="33" customHeight="1" x14ac:dyDescent="0.2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28">
        <f t="shared" si="6"/>
        <v>7750</v>
      </c>
      <c r="M59" s="28">
        <v>2450</v>
      </c>
      <c r="N59" s="28">
        <f t="shared" si="2"/>
        <v>5300</v>
      </c>
      <c r="O59" s="38">
        <f t="shared" si="7"/>
        <v>4.3604911586761356E-4</v>
      </c>
    </row>
    <row r="60" spans="1:15" ht="30.75" customHeight="1" x14ac:dyDescent="0.2">
      <c r="A60" s="41" t="s">
        <v>104</v>
      </c>
      <c r="B60" s="100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28">
        <f t="shared" si="6"/>
        <v>7000</v>
      </c>
      <c r="M60" s="28">
        <f>448+243.53</f>
        <v>691.53</v>
      </c>
      <c r="N60" s="28">
        <f t="shared" si="2"/>
        <v>6308.47</v>
      </c>
      <c r="O60" s="38">
        <f t="shared" si="7"/>
        <v>1.2307797759017583E-4</v>
      </c>
    </row>
    <row r="61" spans="1:15" ht="31.5" customHeight="1" x14ac:dyDescent="0.2">
      <c r="A61" s="41" t="s">
        <v>105</v>
      </c>
      <c r="B61" s="100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28">
        <f t="shared" si="6"/>
        <v>14000</v>
      </c>
      <c r="M61" s="28">
        <v>450</v>
      </c>
      <c r="N61" s="28">
        <f t="shared" si="2"/>
        <v>13550</v>
      </c>
      <c r="O61" s="38">
        <f t="shared" si="7"/>
        <v>8.0090653934867791E-5</v>
      </c>
    </row>
    <row r="62" spans="1:15" ht="15.95" hidden="1" customHeight="1" x14ac:dyDescent="0.2">
      <c r="A62" s="41" t="s">
        <v>106</v>
      </c>
      <c r="B62" s="29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28">
        <f t="shared" si="6"/>
        <v>0</v>
      </c>
      <c r="M62" s="28"/>
      <c r="N62" s="28">
        <f t="shared" si="2"/>
        <v>0</v>
      </c>
      <c r="O62" s="38">
        <f t="shared" si="7"/>
        <v>0</v>
      </c>
    </row>
    <row r="63" spans="1:15" ht="15.95" customHeight="1" x14ac:dyDescent="0.2">
      <c r="A63" s="41">
        <v>169</v>
      </c>
      <c r="B63" s="29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28">
        <f t="shared" si="6"/>
        <v>15000</v>
      </c>
      <c r="M63" s="28"/>
      <c r="N63" s="28">
        <f t="shared" si="2"/>
        <v>15000</v>
      </c>
      <c r="O63" s="38"/>
    </row>
    <row r="64" spans="1:15" ht="15.95" customHeight="1" x14ac:dyDescent="0.2">
      <c r="A64" s="41">
        <v>171</v>
      </c>
      <c r="B64" s="29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28">
        <f>C64+D64-E64+F64-G64+H64+J64-I64-K64</f>
        <v>15000</v>
      </c>
      <c r="M64" s="28"/>
      <c r="N64" s="28">
        <f t="shared" si="2"/>
        <v>15000</v>
      </c>
      <c r="O64" s="38"/>
    </row>
    <row r="65" spans="1:15" ht="15.95" customHeight="1" x14ac:dyDescent="0.2">
      <c r="A65" s="41" t="s">
        <v>107</v>
      </c>
      <c r="B65" s="29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28">
        <f t="shared" ref="L65:L72" si="8">C65+D65-E65+F65-G65+H65+J65-K65</f>
        <v>30750</v>
      </c>
      <c r="M65" s="28"/>
      <c r="N65" s="28">
        <f t="shared" si="2"/>
        <v>30750</v>
      </c>
      <c r="O65" s="38">
        <f>M65/$M$142</f>
        <v>0</v>
      </c>
    </row>
    <row r="66" spans="1:15" ht="33" customHeight="1" x14ac:dyDescent="0.2">
      <c r="A66" s="41">
        <v>176</v>
      </c>
      <c r="B66" s="100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28">
        <f t="shared" si="8"/>
        <v>20000</v>
      </c>
      <c r="M66" s="28">
        <v>4000</v>
      </c>
      <c r="N66" s="28">
        <f t="shared" si="2"/>
        <v>16000</v>
      </c>
      <c r="O66" s="38"/>
    </row>
    <row r="67" spans="1:15" ht="33" customHeight="1" x14ac:dyDescent="0.2">
      <c r="A67" s="41" t="s">
        <v>108</v>
      </c>
      <c r="B67" s="100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28">
        <f t="shared" si="8"/>
        <v>260706.83</v>
      </c>
      <c r="M67" s="28"/>
      <c r="N67" s="28">
        <f t="shared" si="2"/>
        <v>260706.83</v>
      </c>
      <c r="O67" s="38">
        <f t="shared" ref="O67:O81" si="9">M67/$M$142</f>
        <v>0</v>
      </c>
    </row>
    <row r="68" spans="1:15" ht="15.95" customHeight="1" x14ac:dyDescent="0.2">
      <c r="A68" s="41">
        <v>182</v>
      </c>
      <c r="B68" s="29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28">
        <f t="shared" si="8"/>
        <v>10000</v>
      </c>
      <c r="M68" s="28"/>
      <c r="N68" s="28">
        <f t="shared" si="2"/>
        <v>10000</v>
      </c>
      <c r="O68" s="38">
        <f t="shared" si="9"/>
        <v>0</v>
      </c>
    </row>
    <row r="69" spans="1:15" ht="15.95" customHeight="1" x14ac:dyDescent="0.2">
      <c r="A69" s="41" t="s">
        <v>109</v>
      </c>
      <c r="B69" s="29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28">
        <f t="shared" si="8"/>
        <v>60000</v>
      </c>
      <c r="M69" s="28">
        <f>1018.44+4158+8307+8307</f>
        <v>21790.440000000002</v>
      </c>
      <c r="N69" s="28">
        <f t="shared" si="2"/>
        <v>38209.56</v>
      </c>
      <c r="O69" s="38">
        <f t="shared" si="9"/>
        <v>3.8782457536188906E-3</v>
      </c>
    </row>
    <row r="70" spans="1:15" ht="33" customHeight="1" x14ac:dyDescent="0.2">
      <c r="A70" s="41" t="s">
        <v>110</v>
      </c>
      <c r="B70" s="100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28">
        <f t="shared" si="8"/>
        <v>144000</v>
      </c>
      <c r="M70" s="28">
        <f>4500+4500+4500+4500+4500+4500+4500+4500</f>
        <v>36000</v>
      </c>
      <c r="N70" s="28">
        <f t="shared" si="2"/>
        <v>108000</v>
      </c>
      <c r="O70" s="38">
        <f t="shared" si="9"/>
        <v>6.4072523147894233E-3</v>
      </c>
    </row>
    <row r="71" spans="1:15" ht="15.95" customHeight="1" x14ac:dyDescent="0.2">
      <c r="A71" s="41" t="s">
        <v>111</v>
      </c>
      <c r="B71" s="29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28">
        <f t="shared" si="8"/>
        <v>9500</v>
      </c>
      <c r="M71" s="28">
        <f>235.2+352.8+117.6+117.6+117.6+117.6</f>
        <v>1058.4000000000001</v>
      </c>
      <c r="N71" s="28">
        <f t="shared" si="2"/>
        <v>8441.6</v>
      </c>
      <c r="O71" s="38">
        <f t="shared" si="9"/>
        <v>1.8837321805480908E-4</v>
      </c>
    </row>
    <row r="72" spans="1:15" ht="33" customHeight="1" x14ac:dyDescent="0.2">
      <c r="A72" s="41" t="s">
        <v>112</v>
      </c>
      <c r="B72" s="100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28">
        <f t="shared" si="8"/>
        <v>24540</v>
      </c>
      <c r="M72" s="28"/>
      <c r="N72" s="28">
        <f t="shared" si="2"/>
        <v>24540</v>
      </c>
      <c r="O72" s="38">
        <f t="shared" si="9"/>
        <v>0</v>
      </c>
    </row>
    <row r="73" spans="1:15" ht="15.95" customHeight="1" x14ac:dyDescent="0.2">
      <c r="A73" s="41" t="s">
        <v>113</v>
      </c>
      <c r="B73" s="29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28">
        <f>C73+D73-E73+F73-G73+H73-I73+J73-K73</f>
        <v>963300</v>
      </c>
      <c r="M73" s="28">
        <f>93776.76+70259.49+71194.06+140236.56+23297.97+74682.96+162912.15+2740</f>
        <v>639099.94999999995</v>
      </c>
      <c r="N73" s="28">
        <f t="shared" si="2"/>
        <v>324200.05000000005</v>
      </c>
      <c r="O73" s="38">
        <f t="shared" si="9"/>
        <v>0.11374651761164735</v>
      </c>
    </row>
    <row r="74" spans="1:15" ht="33.75" customHeight="1" x14ac:dyDescent="0.2">
      <c r="A74" s="41" t="s">
        <v>114</v>
      </c>
      <c r="B74" s="100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28">
        <f>C74+D74-E74+F74-G74+H74+J74-K74</f>
        <v>8000</v>
      </c>
      <c r="M74" s="28"/>
      <c r="N74" s="28">
        <f t="shared" si="2"/>
        <v>8000</v>
      </c>
      <c r="O74" s="38">
        <f t="shared" si="9"/>
        <v>0</v>
      </c>
    </row>
    <row r="75" spans="1:15" ht="15.95" customHeight="1" x14ac:dyDescent="0.2">
      <c r="A75" s="41" t="s">
        <v>115</v>
      </c>
      <c r="B75" s="29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28">
        <f>C75+D75-E75+F75-G75+H75+J75-I75-K75</f>
        <v>130000</v>
      </c>
      <c r="M75" s="28"/>
      <c r="N75" s="28">
        <f t="shared" si="2"/>
        <v>130000</v>
      </c>
      <c r="O75" s="38">
        <f t="shared" si="9"/>
        <v>0</v>
      </c>
    </row>
    <row r="76" spans="1:15" ht="15.95" customHeight="1" x14ac:dyDescent="0.2">
      <c r="A76" s="41" t="s">
        <v>116</v>
      </c>
      <c r="B76" s="29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28">
        <f>C76+D76-E76+F76-G76+H76+J76-K76</f>
        <v>8250</v>
      </c>
      <c r="M76" s="28">
        <f>911.4+353.71</f>
        <v>1265.1099999999999</v>
      </c>
      <c r="N76" s="28">
        <f t="shared" si="2"/>
        <v>6984.89</v>
      </c>
      <c r="O76" s="38">
        <f t="shared" si="9"/>
        <v>2.2516330488786798E-4</v>
      </c>
    </row>
    <row r="77" spans="1:15" ht="15.95" customHeight="1" x14ac:dyDescent="0.2">
      <c r="A77" s="41" t="s">
        <v>117</v>
      </c>
      <c r="B77" s="29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28">
        <f>C77+D77-E77+F77-G77+H77+J77-K77</f>
        <v>2500</v>
      </c>
      <c r="M77" s="28">
        <f>50+56.72+130.7+87.35+50.36+106.35+133.84+56.36</f>
        <v>671.68000000000006</v>
      </c>
      <c r="N77" s="28">
        <f t="shared" si="2"/>
        <v>1828.32</v>
      </c>
      <c r="O77" s="38">
        <f t="shared" si="9"/>
        <v>1.1954508985549335E-4</v>
      </c>
    </row>
    <row r="78" spans="1:15" ht="15.95" customHeight="1" x14ac:dyDescent="0.2">
      <c r="A78" s="41" t="s">
        <v>118</v>
      </c>
      <c r="B78" s="29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28">
        <f>C78+D78-E78+F78-G78+H78+J78-K78</f>
        <v>125000</v>
      </c>
      <c r="M78" s="28">
        <f>10+30+10.2+220+300.4</f>
        <v>570.59999999999991</v>
      </c>
      <c r="N78" s="28">
        <f t="shared" si="2"/>
        <v>124429.4</v>
      </c>
      <c r="O78" s="38">
        <f t="shared" si="9"/>
        <v>1.0155494918941234E-4</v>
      </c>
    </row>
    <row r="79" spans="1:15" ht="15.95" customHeight="1" x14ac:dyDescent="0.2">
      <c r="A79" s="41" t="s">
        <v>119</v>
      </c>
      <c r="B79" s="29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28">
        <f>C79+D79-E79+F79-G79+H79+J79-I79-K79</f>
        <v>50000</v>
      </c>
      <c r="M79" s="28"/>
      <c r="N79" s="28">
        <f t="shared" si="2"/>
        <v>50000</v>
      </c>
      <c r="O79" s="38">
        <f t="shared" si="9"/>
        <v>0</v>
      </c>
    </row>
    <row r="80" spans="1:15" ht="15.95" customHeight="1" x14ac:dyDescent="0.2">
      <c r="A80" s="41" t="s">
        <v>178</v>
      </c>
      <c r="B80" s="29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28">
        <f>C80+D80-E80+F80-G80+H80+J80-I80-K80</f>
        <v>46100</v>
      </c>
      <c r="M80" s="28"/>
      <c r="N80" s="28">
        <f t="shared" si="2"/>
        <v>46100</v>
      </c>
      <c r="O80" s="38">
        <f t="shared" si="9"/>
        <v>0</v>
      </c>
    </row>
    <row r="81" spans="1:15" ht="15.95" customHeight="1" x14ac:dyDescent="0.2">
      <c r="A81" s="41" t="s">
        <v>120</v>
      </c>
      <c r="B81" s="29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28">
        <f>C81+D81-E81+F81-G81+H81+J81-K81</f>
        <v>51000</v>
      </c>
      <c r="M81" s="28">
        <f>440+44+2062.32+170+625+444</f>
        <v>3785.32</v>
      </c>
      <c r="N81" s="28">
        <f t="shared" si="2"/>
        <v>47214.68</v>
      </c>
      <c r="O81" s="38">
        <f t="shared" si="9"/>
        <v>6.7370834256163061E-4</v>
      </c>
    </row>
    <row r="82" spans="1:15" ht="15.95" customHeight="1" x14ac:dyDescent="0.2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28"/>
      <c r="M82" s="28"/>
      <c r="N82" s="28"/>
      <c r="O82" s="38"/>
    </row>
    <row r="83" spans="1:15" ht="15.95" customHeight="1" x14ac:dyDescent="0.2">
      <c r="A83" s="41"/>
      <c r="B83" s="29"/>
      <c r="C83" s="28"/>
      <c r="D83" s="28"/>
      <c r="E83" s="28"/>
      <c r="F83" s="44"/>
      <c r="G83" s="44"/>
      <c r="H83" s="28"/>
      <c r="I83" s="28"/>
      <c r="J83" s="44"/>
      <c r="K83" s="44"/>
      <c r="L83" s="28"/>
      <c r="M83" s="28"/>
      <c r="N83" s="28"/>
      <c r="O83" s="38"/>
    </row>
    <row r="84" spans="1:15" ht="15.95" customHeight="1" x14ac:dyDescent="0.25">
      <c r="A84" s="39">
        <v>2</v>
      </c>
      <c r="B84" s="40" t="s">
        <v>60</v>
      </c>
      <c r="C84" s="26"/>
      <c r="D84" s="28"/>
      <c r="E84" s="28"/>
      <c r="F84" s="44"/>
      <c r="G84" s="44"/>
      <c r="H84" s="28"/>
      <c r="I84" s="28"/>
      <c r="J84" s="44"/>
      <c r="K84" s="44"/>
      <c r="L84" s="28"/>
      <c r="M84" s="28"/>
      <c r="N84" s="28"/>
      <c r="O84" s="38"/>
    </row>
    <row r="85" spans="1:15" ht="15.95" customHeight="1" x14ac:dyDescent="0.2">
      <c r="A85" s="41" t="s">
        <v>121</v>
      </c>
      <c r="B85" s="29" t="s">
        <v>61</v>
      </c>
      <c r="C85" s="28">
        <v>146784.1</v>
      </c>
      <c r="D85" s="28"/>
      <c r="E85" s="28"/>
      <c r="F85" s="44"/>
      <c r="G85" s="44"/>
      <c r="H85" s="28"/>
      <c r="I85" s="28"/>
      <c r="J85" s="44"/>
      <c r="K85" s="44"/>
      <c r="L85" s="28">
        <f t="shared" ref="L85:L90" si="10">C85+D85-E85+F85-G85+H85+J85-K85</f>
        <v>146784.1</v>
      </c>
      <c r="M85" s="28">
        <f>2380.7+754.5+12765.2+1133.1+2185.25+2268.2+10204.15+2731.05</f>
        <v>34422.15</v>
      </c>
      <c r="N85" s="28">
        <f t="shared" si="2"/>
        <v>112361.95000000001</v>
      </c>
      <c r="O85" s="38">
        <f t="shared" ref="O85:O121" si="11">M85/$M$142</f>
        <v>6.1264277852091324E-3</v>
      </c>
    </row>
    <row r="86" spans="1:15" ht="15.95" hidden="1" customHeight="1" x14ac:dyDescent="0.2">
      <c r="A86" s="41">
        <v>214</v>
      </c>
      <c r="B86" s="29" t="s">
        <v>191</v>
      </c>
      <c r="C86" s="28">
        <v>0</v>
      </c>
      <c r="D86" s="28"/>
      <c r="E86" s="28"/>
      <c r="F86" s="44"/>
      <c r="G86" s="44"/>
      <c r="H86" s="28"/>
      <c r="I86" s="28"/>
      <c r="J86" s="44"/>
      <c r="K86" s="44"/>
      <c r="L86" s="28">
        <f t="shared" si="10"/>
        <v>0</v>
      </c>
      <c r="M86" s="28"/>
      <c r="N86" s="28">
        <f t="shared" si="2"/>
        <v>0</v>
      </c>
      <c r="O86" s="38">
        <f t="shared" si="11"/>
        <v>0</v>
      </c>
    </row>
    <row r="87" spans="1:15" ht="15.95" customHeight="1" x14ac:dyDescent="0.2">
      <c r="A87" s="41">
        <v>223</v>
      </c>
      <c r="B87" s="29" t="s">
        <v>192</v>
      </c>
      <c r="C87" s="28">
        <v>2000</v>
      </c>
      <c r="D87" s="28"/>
      <c r="E87" s="28"/>
      <c r="F87" s="44"/>
      <c r="G87" s="44"/>
      <c r="H87" s="28">
        <v>10000</v>
      </c>
      <c r="I87" s="28"/>
      <c r="J87" s="44"/>
      <c r="K87" s="44"/>
      <c r="L87" s="28">
        <f t="shared" si="10"/>
        <v>12000</v>
      </c>
      <c r="M87" s="28">
        <f>120+45</f>
        <v>165</v>
      </c>
      <c r="N87" s="28">
        <f t="shared" si="2"/>
        <v>11835</v>
      </c>
      <c r="O87" s="38">
        <f t="shared" si="11"/>
        <v>2.9366573109451524E-5</v>
      </c>
    </row>
    <row r="88" spans="1:15" ht="15.95" hidden="1" customHeight="1" x14ac:dyDescent="0.2">
      <c r="A88" s="41">
        <v>229</v>
      </c>
      <c r="B88" s="29" t="s">
        <v>193</v>
      </c>
      <c r="C88" s="28">
        <v>0</v>
      </c>
      <c r="D88" s="28"/>
      <c r="E88" s="28"/>
      <c r="F88" s="44"/>
      <c r="G88" s="44"/>
      <c r="H88" s="28"/>
      <c r="I88" s="28"/>
      <c r="J88" s="44"/>
      <c r="K88" s="44"/>
      <c r="L88" s="28">
        <f t="shared" si="10"/>
        <v>0</v>
      </c>
      <c r="M88" s="28"/>
      <c r="N88" s="28">
        <f t="shared" si="2"/>
        <v>0</v>
      </c>
      <c r="O88" s="38">
        <f t="shared" si="11"/>
        <v>0</v>
      </c>
    </row>
    <row r="89" spans="1:15" ht="15.95" customHeight="1" x14ac:dyDescent="0.2">
      <c r="A89" s="41" t="s">
        <v>122</v>
      </c>
      <c r="B89" s="29" t="s">
        <v>62</v>
      </c>
      <c r="C89" s="28">
        <v>5000</v>
      </c>
      <c r="D89" s="28"/>
      <c r="E89" s="28"/>
      <c r="F89" s="44"/>
      <c r="G89" s="44"/>
      <c r="H89" s="28"/>
      <c r="I89" s="28"/>
      <c r="J89" s="44"/>
      <c r="K89" s="44"/>
      <c r="L89" s="28">
        <f t="shared" si="10"/>
        <v>5000</v>
      </c>
      <c r="M89" s="28">
        <f>94.99+48+684.2</f>
        <v>827.19</v>
      </c>
      <c r="N89" s="28">
        <f t="shared" si="2"/>
        <v>4172.8099999999995</v>
      </c>
      <c r="O89" s="38">
        <f t="shared" si="11"/>
        <v>1.4722264006307399E-4</v>
      </c>
    </row>
    <row r="90" spans="1:15" ht="15.95" customHeight="1" x14ac:dyDescent="0.2">
      <c r="A90" s="41" t="s">
        <v>123</v>
      </c>
      <c r="B90" s="29" t="s">
        <v>63</v>
      </c>
      <c r="C90" s="28">
        <v>33800</v>
      </c>
      <c r="D90" s="28"/>
      <c r="E90" s="28"/>
      <c r="F90" s="44"/>
      <c r="G90" s="44"/>
      <c r="H90" s="28">
        <v>20017.62</v>
      </c>
      <c r="I90" s="28"/>
      <c r="J90" s="44">
        <v>15000</v>
      </c>
      <c r="K90" s="44"/>
      <c r="L90" s="28">
        <f t="shared" si="10"/>
        <v>68817.62</v>
      </c>
      <c r="M90" s="28">
        <f>21140+8098.8+8250+3465</f>
        <v>40953.800000000003</v>
      </c>
      <c r="N90" s="28">
        <f t="shared" si="2"/>
        <v>27863.819999999992</v>
      </c>
      <c r="O90" s="38">
        <f t="shared" si="11"/>
        <v>7.2889258291506422E-3</v>
      </c>
    </row>
    <row r="91" spans="1:15" ht="15.95" customHeight="1" x14ac:dyDescent="0.2">
      <c r="A91" s="41" t="s">
        <v>124</v>
      </c>
      <c r="B91" s="29" t="s">
        <v>64</v>
      </c>
      <c r="C91" s="28">
        <v>5250</v>
      </c>
      <c r="D91" s="28"/>
      <c r="E91" s="28"/>
      <c r="F91" s="44"/>
      <c r="G91" s="44"/>
      <c r="H91" s="28"/>
      <c r="I91" s="28"/>
      <c r="J91" s="44"/>
      <c r="K91" s="44"/>
      <c r="L91" s="28">
        <f>C91+D91-E91+F91-G91+H91+J91-I91-K91</f>
        <v>5250</v>
      </c>
      <c r="M91" s="28">
        <f>439+446.2+360+360+360+416.45+381</f>
        <v>2762.65</v>
      </c>
      <c r="N91" s="28">
        <f t="shared" si="2"/>
        <v>2487.35</v>
      </c>
      <c r="O91" s="38">
        <f t="shared" si="11"/>
        <v>4.9169432242925006E-4</v>
      </c>
    </row>
    <row r="92" spans="1:15" ht="15.95" customHeight="1" x14ac:dyDescent="0.2">
      <c r="A92" s="41" t="s">
        <v>125</v>
      </c>
      <c r="B92" s="29" t="s">
        <v>65</v>
      </c>
      <c r="C92" s="28">
        <v>10500</v>
      </c>
      <c r="D92" s="28"/>
      <c r="E92" s="28"/>
      <c r="F92" s="44"/>
      <c r="G92" s="44"/>
      <c r="H92" s="28"/>
      <c r="I92" s="28"/>
      <c r="J92" s="44"/>
      <c r="K92" s="44"/>
      <c r="L92" s="28">
        <f>C92+D92-E92+F92-G92+H92+J92-K92</f>
        <v>10500</v>
      </c>
      <c r="M92" s="28">
        <f>970+65.15+174.99+1122.19+587.15+1070.24+1171.14+79.6</f>
        <v>5240.4600000000009</v>
      </c>
      <c r="N92" s="28">
        <f t="shared" si="2"/>
        <v>5259.5399999999991</v>
      </c>
      <c r="O92" s="38">
        <f t="shared" si="11"/>
        <v>9.3269304071003859E-4</v>
      </c>
    </row>
    <row r="93" spans="1:15" ht="15.95" customHeight="1" x14ac:dyDescent="0.2">
      <c r="A93" s="41" t="s">
        <v>126</v>
      </c>
      <c r="B93" s="29" t="s">
        <v>194</v>
      </c>
      <c r="C93" s="28">
        <v>3050</v>
      </c>
      <c r="D93" s="28"/>
      <c r="E93" s="28"/>
      <c r="F93" s="44"/>
      <c r="G93" s="44"/>
      <c r="H93" s="28"/>
      <c r="I93" s="28"/>
      <c r="J93" s="44"/>
      <c r="K93" s="44"/>
      <c r="L93" s="28">
        <f>C93+D93-E93+F93-G93+H93+J93-I93-K93</f>
        <v>3050</v>
      </c>
      <c r="M93" s="28">
        <f>394.5+294.3+387.3+246</f>
        <v>1322.1</v>
      </c>
      <c r="N93" s="28">
        <f t="shared" si="2"/>
        <v>1727.9</v>
      </c>
      <c r="O93" s="38">
        <f t="shared" si="11"/>
        <v>2.3530634126064156E-4</v>
      </c>
    </row>
    <row r="94" spans="1:15" ht="15.95" customHeight="1" x14ac:dyDescent="0.2">
      <c r="A94" s="41" t="s">
        <v>127</v>
      </c>
      <c r="B94" s="29" t="s">
        <v>66</v>
      </c>
      <c r="C94" s="28">
        <v>875</v>
      </c>
      <c r="D94" s="28"/>
      <c r="E94" s="28"/>
      <c r="F94" s="44"/>
      <c r="G94" s="44"/>
      <c r="H94" s="28"/>
      <c r="I94" s="28"/>
      <c r="J94" s="44"/>
      <c r="K94" s="44"/>
      <c r="L94" s="28">
        <f t="shared" ref="L94:L111" si="12">C94+D94-E94+F94-G94+H94+J94-K94</f>
        <v>875</v>
      </c>
      <c r="M94" s="28"/>
      <c r="N94" s="28">
        <f t="shared" si="2"/>
        <v>875</v>
      </c>
      <c r="O94" s="38">
        <f t="shared" si="11"/>
        <v>0</v>
      </c>
    </row>
    <row r="95" spans="1:15" ht="15.95" customHeight="1" x14ac:dyDescent="0.2">
      <c r="A95" s="41" t="s">
        <v>128</v>
      </c>
      <c r="B95" s="29" t="s">
        <v>195</v>
      </c>
      <c r="C95" s="28">
        <v>5500</v>
      </c>
      <c r="D95" s="28"/>
      <c r="E95" s="28"/>
      <c r="F95" s="44"/>
      <c r="G95" s="44"/>
      <c r="H95" s="28"/>
      <c r="I95" s="28"/>
      <c r="J95" s="44"/>
      <c r="K95" s="44"/>
      <c r="L95" s="28">
        <f t="shared" si="12"/>
        <v>5500</v>
      </c>
      <c r="M95" s="28"/>
      <c r="N95" s="28">
        <f t="shared" si="2"/>
        <v>5500</v>
      </c>
      <c r="O95" s="38">
        <f t="shared" si="11"/>
        <v>0</v>
      </c>
    </row>
    <row r="96" spans="1:15" ht="15.95" customHeight="1" x14ac:dyDescent="0.2">
      <c r="A96" s="41" t="s">
        <v>129</v>
      </c>
      <c r="B96" s="29" t="s">
        <v>67</v>
      </c>
      <c r="C96" s="28">
        <v>2700</v>
      </c>
      <c r="D96" s="28"/>
      <c r="E96" s="28"/>
      <c r="F96" s="44"/>
      <c r="G96" s="44"/>
      <c r="H96" s="28"/>
      <c r="I96" s="28"/>
      <c r="J96" s="44"/>
      <c r="K96" s="44"/>
      <c r="L96" s="28">
        <f t="shared" si="12"/>
        <v>2700</v>
      </c>
      <c r="M96" s="28">
        <f>527.45+48+320+1742.85+14.35</f>
        <v>2652.65</v>
      </c>
      <c r="N96" s="28">
        <f t="shared" si="2"/>
        <v>47.349999999999909</v>
      </c>
      <c r="O96" s="38">
        <f t="shared" si="11"/>
        <v>4.7211660702294901E-4</v>
      </c>
    </row>
    <row r="97" spans="1:15" ht="15.95" customHeight="1" x14ac:dyDescent="0.2">
      <c r="A97" s="41" t="s">
        <v>196</v>
      </c>
      <c r="B97" s="29" t="s">
        <v>197</v>
      </c>
      <c r="C97" s="28">
        <v>2800</v>
      </c>
      <c r="D97" s="28"/>
      <c r="E97" s="28"/>
      <c r="F97" s="44"/>
      <c r="G97" s="44"/>
      <c r="H97" s="28"/>
      <c r="I97" s="28"/>
      <c r="J97" s="44"/>
      <c r="K97" s="44"/>
      <c r="L97" s="28">
        <f t="shared" si="12"/>
        <v>2800</v>
      </c>
      <c r="M97" s="28">
        <f>89+40+158</f>
        <v>287</v>
      </c>
      <c r="N97" s="28">
        <f t="shared" si="2"/>
        <v>2513</v>
      </c>
      <c r="O97" s="38">
        <f t="shared" si="11"/>
        <v>5.1080039287349014E-5</v>
      </c>
    </row>
    <row r="98" spans="1:15" ht="15.95" customHeight="1" x14ac:dyDescent="0.2">
      <c r="A98" s="41" t="s">
        <v>130</v>
      </c>
      <c r="B98" s="29" t="s">
        <v>68</v>
      </c>
      <c r="C98" s="28">
        <v>8500</v>
      </c>
      <c r="D98" s="28"/>
      <c r="E98" s="28"/>
      <c r="F98" s="44"/>
      <c r="G98" s="44"/>
      <c r="H98" s="28"/>
      <c r="I98" s="28"/>
      <c r="J98" s="44"/>
      <c r="K98" s="44"/>
      <c r="L98" s="28">
        <f t="shared" si="12"/>
        <v>8500</v>
      </c>
      <c r="M98" s="28">
        <f>687.48+165+140+326.74+957.98+950+725+811.25</f>
        <v>4763.45</v>
      </c>
      <c r="N98" s="28">
        <f t="shared" si="2"/>
        <v>3736.55</v>
      </c>
      <c r="O98" s="38">
        <f t="shared" si="11"/>
        <v>8.4779516774676888E-4</v>
      </c>
    </row>
    <row r="99" spans="1:15" ht="15.95" customHeight="1" x14ac:dyDescent="0.2">
      <c r="A99" s="41" t="s">
        <v>131</v>
      </c>
      <c r="B99" s="29" t="s">
        <v>198</v>
      </c>
      <c r="C99" s="28">
        <v>6000</v>
      </c>
      <c r="D99" s="28"/>
      <c r="E99" s="28"/>
      <c r="F99" s="44"/>
      <c r="G99" s="44"/>
      <c r="H99" s="28"/>
      <c r="I99" s="28"/>
      <c r="J99" s="44"/>
      <c r="K99" s="44"/>
      <c r="L99" s="28">
        <f t="shared" si="12"/>
        <v>6000</v>
      </c>
      <c r="M99" s="28">
        <f>342.5+60</f>
        <v>402.5</v>
      </c>
      <c r="N99" s="28">
        <f t="shared" si="2"/>
        <v>5597.5</v>
      </c>
      <c r="O99" s="38">
        <f t="shared" si="11"/>
        <v>7.1636640463965083E-5</v>
      </c>
    </row>
    <row r="100" spans="1:15" ht="15.95" customHeight="1" x14ac:dyDescent="0.2">
      <c r="A100" s="41" t="s">
        <v>132</v>
      </c>
      <c r="B100" s="29" t="s">
        <v>69</v>
      </c>
      <c r="C100" s="28">
        <v>17500</v>
      </c>
      <c r="D100" s="28"/>
      <c r="E100" s="28"/>
      <c r="F100" s="44"/>
      <c r="G100" s="44"/>
      <c r="H100" s="28"/>
      <c r="I100" s="28"/>
      <c r="J100" s="44">
        <v>50000</v>
      </c>
      <c r="K100" s="44"/>
      <c r="L100" s="28">
        <f t="shared" si="12"/>
        <v>67500</v>
      </c>
      <c r="M100" s="28">
        <f>862.5+1427.35+285</f>
        <v>2574.85</v>
      </c>
      <c r="N100" s="28">
        <f t="shared" si="2"/>
        <v>64925.15</v>
      </c>
      <c r="O100" s="38">
        <f t="shared" si="11"/>
        <v>4.5826982285376519E-4</v>
      </c>
    </row>
    <row r="101" spans="1:15" ht="15.95" customHeight="1" x14ac:dyDescent="0.2">
      <c r="A101" s="41" t="s">
        <v>133</v>
      </c>
      <c r="B101" s="29" t="s">
        <v>199</v>
      </c>
      <c r="C101" s="28">
        <v>3000</v>
      </c>
      <c r="D101" s="28"/>
      <c r="E101" s="28"/>
      <c r="F101" s="44"/>
      <c r="G101" s="44"/>
      <c r="H101" s="28"/>
      <c r="I101" s="28"/>
      <c r="J101" s="44"/>
      <c r="K101" s="44"/>
      <c r="L101" s="28">
        <f t="shared" si="12"/>
        <v>3000</v>
      </c>
      <c r="M101" s="28">
        <f>691.35+274.07+29.5+1161.24+18+2424.9+98.35</f>
        <v>4697.41</v>
      </c>
      <c r="N101" s="28">
        <f t="shared" si="2"/>
        <v>-1697.4099999999999</v>
      </c>
      <c r="O101" s="38">
        <f t="shared" si="11"/>
        <v>8.3604141933374962E-4</v>
      </c>
    </row>
    <row r="102" spans="1:15" ht="15.95" customHeight="1" x14ac:dyDescent="0.2">
      <c r="A102" s="41" t="s">
        <v>134</v>
      </c>
      <c r="B102" s="29" t="s">
        <v>200</v>
      </c>
      <c r="C102" s="28">
        <v>1500</v>
      </c>
      <c r="D102" s="28"/>
      <c r="E102" s="28"/>
      <c r="F102" s="44"/>
      <c r="G102" s="44"/>
      <c r="H102" s="28"/>
      <c r="I102" s="28"/>
      <c r="J102" s="44"/>
      <c r="K102" s="44"/>
      <c r="L102" s="28">
        <f t="shared" si="12"/>
        <v>1500</v>
      </c>
      <c r="M102" s="28">
        <v>588</v>
      </c>
      <c r="N102" s="28">
        <f t="shared" ref="N102:N141" si="13">L102-M102</f>
        <v>912</v>
      </c>
      <c r="O102" s="38">
        <f t="shared" si="11"/>
        <v>1.0465178780822725E-4</v>
      </c>
    </row>
    <row r="103" spans="1:15" ht="15.95" customHeight="1" x14ac:dyDescent="0.2">
      <c r="A103" s="41" t="s">
        <v>135</v>
      </c>
      <c r="B103" s="29" t="s">
        <v>70</v>
      </c>
      <c r="C103" s="28">
        <v>181653.08</v>
      </c>
      <c r="D103" s="28"/>
      <c r="E103" s="28"/>
      <c r="F103" s="44"/>
      <c r="G103" s="44"/>
      <c r="H103" s="28">
        <v>100000</v>
      </c>
      <c r="I103" s="28"/>
      <c r="J103" s="44"/>
      <c r="K103" s="44">
        <v>122000</v>
      </c>
      <c r="L103" s="28">
        <f t="shared" si="12"/>
        <v>159653.07999999996</v>
      </c>
      <c r="M103" s="28"/>
      <c r="N103" s="28">
        <f t="shared" si="13"/>
        <v>159653.07999999996</v>
      </c>
      <c r="O103" s="38">
        <f t="shared" si="11"/>
        <v>0</v>
      </c>
    </row>
    <row r="104" spans="1:15" ht="15.95" hidden="1" customHeight="1" x14ac:dyDescent="0.2">
      <c r="A104" s="41">
        <v>272</v>
      </c>
      <c r="B104" s="29" t="s">
        <v>201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28">
        <f t="shared" si="12"/>
        <v>0</v>
      </c>
      <c r="M104" s="28"/>
      <c r="N104" s="28">
        <f t="shared" si="13"/>
        <v>0</v>
      </c>
      <c r="O104" s="38">
        <f t="shared" si="11"/>
        <v>0</v>
      </c>
    </row>
    <row r="105" spans="1:15" ht="15.95" hidden="1" customHeight="1" x14ac:dyDescent="0.2">
      <c r="A105" s="41" t="s">
        <v>136</v>
      </c>
      <c r="B105" s="29" t="s">
        <v>202</v>
      </c>
      <c r="C105" s="28">
        <v>0</v>
      </c>
      <c r="D105" s="28"/>
      <c r="E105" s="28"/>
      <c r="F105" s="44"/>
      <c r="G105" s="44"/>
      <c r="H105" s="28"/>
      <c r="I105" s="28"/>
      <c r="J105" s="44"/>
      <c r="K105" s="44"/>
      <c r="L105" s="28">
        <f t="shared" si="12"/>
        <v>0</v>
      </c>
      <c r="M105" s="28"/>
      <c r="N105" s="28">
        <f t="shared" si="13"/>
        <v>0</v>
      </c>
      <c r="O105" s="38">
        <f t="shared" si="11"/>
        <v>0</v>
      </c>
    </row>
    <row r="106" spans="1:15" ht="15.95" customHeight="1" x14ac:dyDescent="0.2">
      <c r="A106" s="41">
        <v>274</v>
      </c>
      <c r="B106" s="29" t="s">
        <v>71</v>
      </c>
      <c r="C106" s="28">
        <v>1500</v>
      </c>
      <c r="D106" s="28"/>
      <c r="E106" s="28"/>
      <c r="F106" s="44"/>
      <c r="G106" s="44"/>
      <c r="H106" s="28">
        <v>10000</v>
      </c>
      <c r="I106" s="28"/>
      <c r="J106" s="44"/>
      <c r="K106" s="44"/>
      <c r="L106" s="28">
        <f t="shared" si="12"/>
        <v>11500</v>
      </c>
      <c r="M106" s="28">
        <v>486</v>
      </c>
      <c r="N106" s="28">
        <f t="shared" si="13"/>
        <v>11014</v>
      </c>
      <c r="O106" s="38">
        <f t="shared" si="11"/>
        <v>8.6497906249657222E-5</v>
      </c>
    </row>
    <row r="107" spans="1:15" ht="15.95" hidden="1" customHeight="1" x14ac:dyDescent="0.2">
      <c r="A107" s="41">
        <v>275</v>
      </c>
      <c r="B107" s="29" t="s">
        <v>203</v>
      </c>
      <c r="C107" s="28">
        <v>0</v>
      </c>
      <c r="D107" s="28"/>
      <c r="E107" s="28"/>
      <c r="F107" s="44"/>
      <c r="G107" s="44"/>
      <c r="H107" s="28"/>
      <c r="I107" s="28"/>
      <c r="J107" s="44"/>
      <c r="K107" s="44"/>
      <c r="L107" s="28">
        <f t="shared" si="12"/>
        <v>0</v>
      </c>
      <c r="M107" s="28"/>
      <c r="N107" s="28">
        <f t="shared" si="13"/>
        <v>0</v>
      </c>
      <c r="O107" s="38">
        <f t="shared" si="11"/>
        <v>0</v>
      </c>
    </row>
    <row r="108" spans="1:15" ht="15.95" customHeight="1" x14ac:dyDescent="0.2">
      <c r="A108" s="41">
        <v>279</v>
      </c>
      <c r="B108" s="29" t="s">
        <v>204</v>
      </c>
      <c r="C108" s="28">
        <v>750</v>
      </c>
      <c r="D108" s="28"/>
      <c r="E108" s="28"/>
      <c r="F108" s="44"/>
      <c r="G108" s="44"/>
      <c r="H108" s="28"/>
      <c r="I108" s="28"/>
      <c r="J108" s="44"/>
      <c r="K108" s="44"/>
      <c r="L108" s="28">
        <f t="shared" si="12"/>
        <v>750</v>
      </c>
      <c r="M108" s="28"/>
      <c r="N108" s="28">
        <f t="shared" si="13"/>
        <v>750</v>
      </c>
      <c r="O108" s="38">
        <f t="shared" si="11"/>
        <v>0</v>
      </c>
    </row>
    <row r="109" spans="1:15" ht="15.95" hidden="1" customHeight="1" x14ac:dyDescent="0.2">
      <c r="A109" s="41">
        <v>281</v>
      </c>
      <c r="B109" s="29" t="s">
        <v>205</v>
      </c>
      <c r="C109" s="28">
        <v>0</v>
      </c>
      <c r="D109" s="28"/>
      <c r="E109" s="28"/>
      <c r="F109" s="44"/>
      <c r="G109" s="44"/>
      <c r="H109" s="28"/>
      <c r="I109" s="28"/>
      <c r="J109" s="44"/>
      <c r="K109" s="44"/>
      <c r="L109" s="28">
        <f t="shared" si="12"/>
        <v>0</v>
      </c>
      <c r="M109" s="28"/>
      <c r="N109" s="28">
        <f t="shared" si="13"/>
        <v>0</v>
      </c>
      <c r="O109" s="38">
        <f t="shared" si="11"/>
        <v>0</v>
      </c>
    </row>
    <row r="110" spans="1:15" ht="15.95" customHeight="1" x14ac:dyDescent="0.2">
      <c r="A110" s="41" t="s">
        <v>137</v>
      </c>
      <c r="B110" s="29" t="s">
        <v>206</v>
      </c>
      <c r="C110" s="28">
        <v>4800</v>
      </c>
      <c r="D110" s="28"/>
      <c r="E110" s="28"/>
      <c r="F110" s="44"/>
      <c r="G110" s="44"/>
      <c r="H110" s="28"/>
      <c r="I110" s="28"/>
      <c r="J110" s="44"/>
      <c r="K110" s="44"/>
      <c r="L110" s="28">
        <f t="shared" si="12"/>
        <v>4800</v>
      </c>
      <c r="M110" s="28">
        <f>31.6+60.84+123.51+7.8</f>
        <v>223.75</v>
      </c>
      <c r="N110" s="28">
        <f t="shared" si="13"/>
        <v>4576.25</v>
      </c>
      <c r="O110" s="38">
        <f t="shared" si="11"/>
        <v>3.9822852928725931E-5</v>
      </c>
    </row>
    <row r="111" spans="1:15" ht="15.95" customHeight="1" x14ac:dyDescent="0.2">
      <c r="A111" s="41" t="s">
        <v>138</v>
      </c>
      <c r="B111" s="29" t="s">
        <v>72</v>
      </c>
      <c r="C111" s="28">
        <v>28800</v>
      </c>
      <c r="D111" s="28"/>
      <c r="E111" s="28"/>
      <c r="F111" s="44"/>
      <c r="G111" s="44"/>
      <c r="H111" s="28"/>
      <c r="I111" s="28"/>
      <c r="J111" s="44"/>
      <c r="K111" s="44"/>
      <c r="L111" s="28">
        <f t="shared" si="12"/>
        <v>28800</v>
      </c>
      <c r="M111" s="28">
        <v>924.54</v>
      </c>
      <c r="N111" s="28">
        <f t="shared" si="13"/>
        <v>27875.46</v>
      </c>
      <c r="O111" s="38">
        <f t="shared" si="11"/>
        <v>1.6454891819765038E-4</v>
      </c>
    </row>
    <row r="112" spans="1:15" ht="15.95" customHeight="1" x14ac:dyDescent="0.2">
      <c r="A112" s="41" t="s">
        <v>139</v>
      </c>
      <c r="B112" s="29" t="s">
        <v>73</v>
      </c>
      <c r="C112" s="28">
        <v>1300000</v>
      </c>
      <c r="D112" s="28"/>
      <c r="E112" s="28"/>
      <c r="F112" s="44"/>
      <c r="G112" s="44"/>
      <c r="H112" s="28"/>
      <c r="I112" s="28"/>
      <c r="J112" s="44"/>
      <c r="K112" s="44"/>
      <c r="L112" s="28">
        <f>C112+D112-E112+F112-G112+H112+J112-I112-K112</f>
        <v>1300000</v>
      </c>
      <c r="M112" s="28">
        <v>1088331</v>
      </c>
      <c r="N112" s="28">
        <f t="shared" si="13"/>
        <v>211669</v>
      </c>
      <c r="O112" s="38">
        <f t="shared" si="11"/>
        <v>0.19370031441686356</v>
      </c>
    </row>
    <row r="113" spans="1:15" ht="15.95" customHeight="1" x14ac:dyDescent="0.2">
      <c r="A113" s="41">
        <v>286</v>
      </c>
      <c r="B113" s="29" t="s">
        <v>207</v>
      </c>
      <c r="C113" s="28">
        <v>1500</v>
      </c>
      <c r="D113" s="28"/>
      <c r="E113" s="28"/>
      <c r="F113" s="44"/>
      <c r="G113" s="44"/>
      <c r="H113" s="28">
        <v>3000</v>
      </c>
      <c r="I113" s="28"/>
      <c r="J113" s="44"/>
      <c r="K113" s="44"/>
      <c r="L113" s="28">
        <f t="shared" ref="L113:L121" si="14">C113+D113-E113+F113-G113+H113+J113-K113</f>
        <v>4500</v>
      </c>
      <c r="M113" s="28">
        <f>118+98</f>
        <v>216</v>
      </c>
      <c r="N113" s="28">
        <f t="shared" si="13"/>
        <v>4284</v>
      </c>
      <c r="O113" s="38">
        <f t="shared" si="11"/>
        <v>3.8443513888736541E-5</v>
      </c>
    </row>
    <row r="114" spans="1:15" ht="15.95" hidden="1" customHeight="1" x14ac:dyDescent="0.2">
      <c r="A114" s="41">
        <v>289</v>
      </c>
      <c r="B114" s="29" t="s">
        <v>208</v>
      </c>
      <c r="C114" s="28">
        <v>0</v>
      </c>
      <c r="D114" s="28"/>
      <c r="E114" s="28"/>
      <c r="F114" s="44"/>
      <c r="G114" s="44"/>
      <c r="H114" s="28"/>
      <c r="I114" s="28"/>
      <c r="J114" s="44"/>
      <c r="K114" s="44"/>
      <c r="L114" s="28">
        <f t="shared" si="14"/>
        <v>0</v>
      </c>
      <c r="M114" s="28"/>
      <c r="N114" s="28">
        <f t="shared" si="13"/>
        <v>0</v>
      </c>
      <c r="O114" s="38">
        <f t="shared" si="11"/>
        <v>0</v>
      </c>
    </row>
    <row r="115" spans="1:15" ht="15.95" customHeight="1" x14ac:dyDescent="0.2">
      <c r="A115" s="41" t="s">
        <v>140</v>
      </c>
      <c r="B115" s="29" t="s">
        <v>74</v>
      </c>
      <c r="C115" s="28">
        <v>6600</v>
      </c>
      <c r="D115" s="28"/>
      <c r="E115" s="28"/>
      <c r="F115" s="44"/>
      <c r="G115" s="44"/>
      <c r="H115" s="28"/>
      <c r="I115" s="28"/>
      <c r="J115" s="44"/>
      <c r="K115" s="44"/>
      <c r="L115" s="28">
        <f t="shared" si="14"/>
        <v>6600</v>
      </c>
      <c r="M115" s="28">
        <f>170.3+371+88.55+154.7+1286.78+366.45+423.8+97.5</f>
        <v>2959.08</v>
      </c>
      <c r="N115" s="28">
        <f t="shared" si="13"/>
        <v>3640.92</v>
      </c>
      <c r="O115" s="38">
        <f t="shared" si="11"/>
        <v>5.2665478276797467E-4</v>
      </c>
    </row>
    <row r="116" spans="1:15" ht="33" customHeight="1" x14ac:dyDescent="0.2">
      <c r="A116" s="41" t="s">
        <v>141</v>
      </c>
      <c r="B116" s="100" t="s">
        <v>209</v>
      </c>
      <c r="C116" s="28">
        <v>4000</v>
      </c>
      <c r="D116" s="28"/>
      <c r="E116" s="28"/>
      <c r="F116" s="44"/>
      <c r="G116" s="44"/>
      <c r="H116" s="28"/>
      <c r="I116" s="28"/>
      <c r="J116" s="44"/>
      <c r="K116" s="44"/>
      <c r="L116" s="28">
        <f t="shared" si="14"/>
        <v>4000</v>
      </c>
      <c r="M116" s="28">
        <f>274.1+117.25+110.65+75.98+241.2+191.88+275.85+156.2</f>
        <v>1443.1100000000001</v>
      </c>
      <c r="N116" s="28">
        <f t="shared" si="13"/>
        <v>2556.89</v>
      </c>
      <c r="O116" s="38">
        <f t="shared" si="11"/>
        <v>2.5684360799988241E-4</v>
      </c>
    </row>
    <row r="117" spans="1:15" ht="15.95" customHeight="1" x14ac:dyDescent="0.2">
      <c r="A117" s="41" t="s">
        <v>142</v>
      </c>
      <c r="B117" s="29" t="s">
        <v>75</v>
      </c>
      <c r="C117" s="28">
        <v>25251.9</v>
      </c>
      <c r="D117" s="28"/>
      <c r="E117" s="28"/>
      <c r="F117" s="44"/>
      <c r="G117" s="44"/>
      <c r="H117" s="28"/>
      <c r="I117" s="28"/>
      <c r="J117" s="44"/>
      <c r="K117" s="44"/>
      <c r="L117" s="28">
        <f t="shared" si="14"/>
        <v>25251.9</v>
      </c>
      <c r="M117" s="28">
        <f>4500+5193.57+990+651.5</f>
        <v>11335.07</v>
      </c>
      <c r="N117" s="28">
        <f t="shared" si="13"/>
        <v>13916.830000000002</v>
      </c>
      <c r="O117" s="38">
        <f t="shared" si="11"/>
        <v>2.017407041550004E-3</v>
      </c>
    </row>
    <row r="118" spans="1:15" ht="15.95" customHeight="1" x14ac:dyDescent="0.2">
      <c r="A118" s="41" t="s">
        <v>143</v>
      </c>
      <c r="B118" s="29" t="s">
        <v>76</v>
      </c>
      <c r="C118" s="28">
        <v>2000</v>
      </c>
      <c r="D118" s="28"/>
      <c r="E118" s="28"/>
      <c r="F118" s="44"/>
      <c r="G118" s="44"/>
      <c r="H118" s="28"/>
      <c r="I118" s="28"/>
      <c r="J118" s="44"/>
      <c r="K118" s="44"/>
      <c r="L118" s="28">
        <f t="shared" si="14"/>
        <v>2000</v>
      </c>
      <c r="M118" s="28"/>
      <c r="N118" s="28">
        <f t="shared" si="13"/>
        <v>2000</v>
      </c>
      <c r="O118" s="38">
        <f t="shared" si="11"/>
        <v>0</v>
      </c>
    </row>
    <row r="119" spans="1:15" ht="42.75" customHeight="1" x14ac:dyDescent="0.2">
      <c r="A119" s="41" t="s">
        <v>144</v>
      </c>
      <c r="B119" s="100" t="s">
        <v>210</v>
      </c>
      <c r="C119" s="28">
        <v>9500</v>
      </c>
      <c r="D119" s="28"/>
      <c r="E119" s="28"/>
      <c r="F119" s="44"/>
      <c r="G119" s="44"/>
      <c r="H119" s="28">
        <v>20500</v>
      </c>
      <c r="I119" s="28"/>
      <c r="J119" s="44"/>
      <c r="K119" s="44"/>
      <c r="L119" s="28">
        <f t="shared" si="14"/>
        <v>30000</v>
      </c>
      <c r="M119" s="28">
        <f>194+575.6+183.25</f>
        <v>952.85</v>
      </c>
      <c r="N119" s="28">
        <f t="shared" si="13"/>
        <v>29047.15</v>
      </c>
      <c r="O119" s="38">
        <f t="shared" si="11"/>
        <v>1.695875102263084E-4</v>
      </c>
    </row>
    <row r="120" spans="1:15" ht="15.95" customHeight="1" x14ac:dyDescent="0.2">
      <c r="A120" s="41" t="s">
        <v>145</v>
      </c>
      <c r="B120" s="29" t="s">
        <v>77</v>
      </c>
      <c r="C120" s="28">
        <v>76000</v>
      </c>
      <c r="D120" s="28"/>
      <c r="E120" s="28"/>
      <c r="F120" s="44"/>
      <c r="G120" s="44"/>
      <c r="H120" s="28">
        <v>75000</v>
      </c>
      <c r="I120" s="28"/>
      <c r="J120" s="44">
        <v>49000</v>
      </c>
      <c r="K120" s="44"/>
      <c r="L120" s="28">
        <f t="shared" si="14"/>
        <v>200000</v>
      </c>
      <c r="M120" s="28">
        <f>18285.5+3062.22</f>
        <v>21347.72</v>
      </c>
      <c r="N120" s="28">
        <f t="shared" si="13"/>
        <v>178652.28</v>
      </c>
      <c r="O120" s="38">
        <f t="shared" si="11"/>
        <v>3.7994507884854577E-3</v>
      </c>
    </row>
    <row r="121" spans="1:15" ht="15.95" customHeight="1" x14ac:dyDescent="0.2">
      <c r="A121" s="41" t="s">
        <v>146</v>
      </c>
      <c r="B121" s="29" t="s">
        <v>78</v>
      </c>
      <c r="C121" s="28">
        <v>9500</v>
      </c>
      <c r="D121" s="28"/>
      <c r="E121" s="28"/>
      <c r="F121" s="44"/>
      <c r="G121" s="44"/>
      <c r="H121" s="28"/>
      <c r="I121" s="28"/>
      <c r="J121" s="44"/>
      <c r="K121" s="44"/>
      <c r="L121" s="28">
        <f t="shared" si="14"/>
        <v>9500</v>
      </c>
      <c r="M121" s="28">
        <f>256.15+122.2+625.35+1200+1803.2+2247.91+47.35</f>
        <v>6302.16</v>
      </c>
      <c r="N121" s="28">
        <f t="shared" si="13"/>
        <v>3197.84</v>
      </c>
      <c r="O121" s="38">
        <f t="shared" si="11"/>
        <v>1.1216535902270365E-3</v>
      </c>
    </row>
    <row r="122" spans="1:15" ht="15.95" customHeight="1" x14ac:dyDescent="0.2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28"/>
      <c r="M122" s="28"/>
      <c r="N122" s="28"/>
      <c r="O122" s="38"/>
    </row>
    <row r="123" spans="1:15" ht="15.95" customHeight="1" x14ac:dyDescent="0.2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28"/>
      <c r="M123" s="28"/>
      <c r="N123" s="28"/>
      <c r="O123" s="38"/>
    </row>
    <row r="124" spans="1:15" ht="15.95" customHeight="1" x14ac:dyDescent="0.2">
      <c r="A124" s="41"/>
      <c r="B124" s="29"/>
      <c r="C124" s="28"/>
      <c r="D124" s="28"/>
      <c r="E124" s="28"/>
      <c r="F124" s="44"/>
      <c r="G124" s="44"/>
      <c r="H124" s="28"/>
      <c r="I124" s="28"/>
      <c r="J124" s="44"/>
      <c r="K124" s="44"/>
      <c r="L124" s="28"/>
      <c r="M124" s="28"/>
      <c r="N124" s="28"/>
      <c r="O124" s="38"/>
    </row>
    <row r="125" spans="1:15" ht="15.95" customHeight="1" x14ac:dyDescent="0.25">
      <c r="A125" s="39">
        <v>3</v>
      </c>
      <c r="B125" s="40" t="s">
        <v>79</v>
      </c>
      <c r="C125" s="26"/>
      <c r="D125" s="28"/>
      <c r="E125" s="28"/>
      <c r="F125" s="44"/>
      <c r="G125" s="44"/>
      <c r="H125" s="28"/>
      <c r="I125" s="28"/>
      <c r="J125" s="44"/>
      <c r="K125" s="44"/>
      <c r="L125" s="28"/>
      <c r="M125" s="28"/>
      <c r="N125" s="28"/>
      <c r="O125" s="38"/>
    </row>
    <row r="126" spans="1:15" ht="15.95" customHeight="1" x14ac:dyDescent="0.2">
      <c r="A126" s="42" t="s">
        <v>211</v>
      </c>
      <c r="B126" s="43" t="s">
        <v>212</v>
      </c>
      <c r="C126" s="44">
        <v>10000</v>
      </c>
      <c r="D126" s="28"/>
      <c r="E126" s="28"/>
      <c r="F126" s="44"/>
      <c r="G126" s="44"/>
      <c r="H126" s="28"/>
      <c r="I126" s="28"/>
      <c r="J126" s="44"/>
      <c r="K126" s="44"/>
      <c r="L126" s="28">
        <f t="shared" ref="L126:L132" si="15">C126+D126-E126+F126-G126+H126+J126-K126</f>
        <v>10000</v>
      </c>
      <c r="M126" s="28"/>
      <c r="N126" s="28">
        <f t="shared" si="13"/>
        <v>10000</v>
      </c>
      <c r="O126" s="38">
        <f>M126/$M$142</f>
        <v>0</v>
      </c>
    </row>
    <row r="127" spans="1:15" ht="15.95" hidden="1" customHeight="1" x14ac:dyDescent="0.2">
      <c r="A127" s="42" t="s">
        <v>80</v>
      </c>
      <c r="B127" s="43" t="s">
        <v>213</v>
      </c>
      <c r="C127" s="44">
        <v>0</v>
      </c>
      <c r="D127" s="28"/>
      <c r="E127" s="28"/>
      <c r="F127" s="44"/>
      <c r="G127" s="44"/>
      <c r="H127" s="28"/>
      <c r="I127" s="28"/>
      <c r="J127" s="44"/>
      <c r="K127" s="44"/>
      <c r="L127" s="28">
        <f t="shared" si="15"/>
        <v>0</v>
      </c>
      <c r="M127" s="28"/>
      <c r="N127" s="28">
        <f t="shared" si="13"/>
        <v>0</v>
      </c>
      <c r="O127" s="38">
        <f>M127/$M$142</f>
        <v>0</v>
      </c>
    </row>
    <row r="128" spans="1:15" ht="15.95" customHeight="1" x14ac:dyDescent="0.2">
      <c r="A128" s="42" t="s">
        <v>214</v>
      </c>
      <c r="B128" s="43" t="s">
        <v>215</v>
      </c>
      <c r="C128" s="44">
        <v>304035</v>
      </c>
      <c r="D128" s="28"/>
      <c r="E128" s="28"/>
      <c r="F128" s="44"/>
      <c r="G128" s="44"/>
      <c r="H128" s="28"/>
      <c r="I128" s="28"/>
      <c r="J128" s="44"/>
      <c r="K128" s="44"/>
      <c r="L128" s="28">
        <f t="shared" si="15"/>
        <v>304035</v>
      </c>
      <c r="M128" s="28"/>
      <c r="N128" s="28">
        <f t="shared" si="13"/>
        <v>304035</v>
      </c>
      <c r="O128" s="38">
        <f>M128/$M$142</f>
        <v>0</v>
      </c>
    </row>
    <row r="129" spans="1:15" ht="15.95" customHeight="1" x14ac:dyDescent="0.2">
      <c r="A129" s="42">
        <v>325</v>
      </c>
      <c r="B129" s="43" t="s">
        <v>268</v>
      </c>
      <c r="C129" s="44"/>
      <c r="D129" s="28"/>
      <c r="E129" s="28"/>
      <c r="F129" s="44"/>
      <c r="G129" s="44"/>
      <c r="H129" s="28">
        <v>25000</v>
      </c>
      <c r="I129" s="28"/>
      <c r="J129" s="44"/>
      <c r="K129" s="44"/>
      <c r="L129" s="28">
        <f t="shared" si="15"/>
        <v>25000</v>
      </c>
      <c r="M129" s="28">
        <v>11490</v>
      </c>
      <c r="N129" s="28">
        <f t="shared" si="13"/>
        <v>13510</v>
      </c>
      <c r="O129" s="38">
        <f>M129/$M$142</f>
        <v>2.0449813638036243E-3</v>
      </c>
    </row>
    <row r="130" spans="1:15" ht="15.95" customHeight="1" x14ac:dyDescent="0.2">
      <c r="A130" s="42" t="s">
        <v>216</v>
      </c>
      <c r="B130" s="43" t="s">
        <v>217</v>
      </c>
      <c r="C130" s="44">
        <v>1500</v>
      </c>
      <c r="D130" s="28"/>
      <c r="E130" s="28"/>
      <c r="F130" s="44"/>
      <c r="G130" s="44"/>
      <c r="H130" s="28"/>
      <c r="I130" s="28"/>
      <c r="J130" s="44"/>
      <c r="K130" s="44"/>
      <c r="L130" s="28">
        <f t="shared" si="15"/>
        <v>1500</v>
      </c>
      <c r="M130" s="28">
        <v>1060.02</v>
      </c>
      <c r="N130" s="28">
        <f t="shared" si="13"/>
        <v>439.98</v>
      </c>
      <c r="O130" s="38">
        <f>M130/$M$142</f>
        <v>1.8866154440897457E-4</v>
      </c>
    </row>
    <row r="131" spans="1:15" ht="15.95" customHeight="1" x14ac:dyDescent="0.2">
      <c r="A131" s="42">
        <v>328</v>
      </c>
      <c r="B131" s="43" t="s">
        <v>234</v>
      </c>
      <c r="C131" s="44">
        <v>40000</v>
      </c>
      <c r="D131" s="28"/>
      <c r="E131" s="28"/>
      <c r="F131" s="44"/>
      <c r="G131" s="44"/>
      <c r="H131" s="28"/>
      <c r="I131" s="28"/>
      <c r="J131" s="44"/>
      <c r="K131" s="44"/>
      <c r="L131" s="28">
        <f t="shared" si="15"/>
        <v>40000</v>
      </c>
      <c r="M131" s="28">
        <v>4670</v>
      </c>
      <c r="N131" s="28">
        <f t="shared" si="13"/>
        <v>35330</v>
      </c>
      <c r="O131" s="38">
        <f>+M131/M142</f>
        <v>8.3116300861296136E-4</v>
      </c>
    </row>
    <row r="132" spans="1:15" ht="15.95" customHeight="1" x14ac:dyDescent="0.2">
      <c r="A132" s="42" t="s">
        <v>218</v>
      </c>
      <c r="B132" s="43" t="s">
        <v>219</v>
      </c>
      <c r="C132" s="44">
        <v>14300</v>
      </c>
      <c r="D132" s="28"/>
      <c r="E132" s="28"/>
      <c r="F132" s="44"/>
      <c r="G132" s="44"/>
      <c r="H132" s="28"/>
      <c r="I132" s="28"/>
      <c r="J132" s="44"/>
      <c r="K132" s="44"/>
      <c r="L132" s="28">
        <f t="shared" si="15"/>
        <v>14300</v>
      </c>
      <c r="M132" s="28"/>
      <c r="N132" s="28">
        <f t="shared" si="13"/>
        <v>14300</v>
      </c>
      <c r="O132" s="38">
        <f>M132/$M$142</f>
        <v>0</v>
      </c>
    </row>
    <row r="133" spans="1:15" ht="15.95" hidden="1" customHeight="1" x14ac:dyDescent="0.2">
      <c r="A133" s="42" t="s">
        <v>220</v>
      </c>
      <c r="B133" s="43" t="s">
        <v>221</v>
      </c>
      <c r="C133" s="44">
        <v>0</v>
      </c>
      <c r="D133" s="28"/>
      <c r="E133" s="28"/>
      <c r="F133" s="44"/>
      <c r="G133" s="44"/>
      <c r="H133" s="28"/>
      <c r="I133" s="28"/>
      <c r="J133" s="44"/>
      <c r="K133" s="44"/>
      <c r="L133" s="28">
        <f>C133+D133-E133+F133-G133+J133-K133</f>
        <v>0</v>
      </c>
      <c r="M133" s="28"/>
      <c r="N133" s="28">
        <f t="shared" si="13"/>
        <v>0</v>
      </c>
      <c r="O133" s="38">
        <f>M133/$M$142</f>
        <v>0</v>
      </c>
    </row>
    <row r="134" spans="1:15" ht="15.95" customHeight="1" x14ac:dyDescent="0.2">
      <c r="A134" s="42"/>
      <c r="B134" s="43"/>
      <c r="C134" s="44"/>
      <c r="D134" s="28"/>
      <c r="E134" s="28"/>
      <c r="F134" s="44"/>
      <c r="G134" s="44"/>
      <c r="H134" s="28"/>
      <c r="I134" s="28"/>
      <c r="J134" s="44"/>
      <c r="K134" s="44"/>
      <c r="L134" s="28"/>
      <c r="M134" s="28"/>
      <c r="N134" s="28"/>
      <c r="O134" s="38"/>
    </row>
    <row r="135" spans="1:15" ht="15.95" customHeight="1" x14ac:dyDescent="0.2">
      <c r="A135" s="41"/>
      <c r="B135" s="29"/>
      <c r="C135" s="28"/>
      <c r="D135" s="28"/>
      <c r="E135" s="28"/>
      <c r="F135" s="44"/>
      <c r="G135" s="44"/>
      <c r="H135" s="28"/>
      <c r="I135" s="28"/>
      <c r="J135" s="44"/>
      <c r="K135" s="44"/>
      <c r="L135" s="28"/>
      <c r="M135" s="28"/>
      <c r="N135" s="28"/>
      <c r="O135" s="38"/>
    </row>
    <row r="136" spans="1:15" ht="15.95" customHeight="1" x14ac:dyDescent="0.25">
      <c r="A136" s="39">
        <v>4</v>
      </c>
      <c r="B136" s="40" t="s">
        <v>81</v>
      </c>
      <c r="C136" s="26"/>
      <c r="D136" s="28"/>
      <c r="E136" s="28"/>
      <c r="F136" s="44"/>
      <c r="G136" s="44"/>
      <c r="H136" s="28"/>
      <c r="I136" s="28"/>
      <c r="J136" s="44"/>
      <c r="K136" s="44"/>
      <c r="L136" s="28"/>
      <c r="M136" s="28"/>
      <c r="N136" s="28"/>
      <c r="O136" s="38"/>
    </row>
    <row r="137" spans="1:15" ht="15.95" customHeight="1" x14ac:dyDescent="0.2">
      <c r="A137" s="41" t="s">
        <v>222</v>
      </c>
      <c r="B137" s="29" t="s">
        <v>82</v>
      </c>
      <c r="C137" s="28">
        <v>185900</v>
      </c>
      <c r="D137" s="28"/>
      <c r="E137" s="28"/>
      <c r="F137" s="44"/>
      <c r="G137" s="44"/>
      <c r="H137" s="28"/>
      <c r="I137" s="28"/>
      <c r="J137" s="44"/>
      <c r="K137" s="44"/>
      <c r="L137" s="28">
        <f>C137+D137-E137+F137-G137+H137+J137-K137</f>
        <v>185900</v>
      </c>
      <c r="M137" s="28"/>
      <c r="N137" s="28">
        <f t="shared" si="13"/>
        <v>185900</v>
      </c>
      <c r="O137" s="38">
        <f>M137/$M$142</f>
        <v>0</v>
      </c>
    </row>
    <row r="138" spans="1:15" ht="15.95" customHeight="1" x14ac:dyDescent="0.2">
      <c r="A138" s="41" t="s">
        <v>223</v>
      </c>
      <c r="B138" s="29" t="s">
        <v>224</v>
      </c>
      <c r="C138" s="28">
        <v>7170</v>
      </c>
      <c r="D138" s="28"/>
      <c r="E138" s="28"/>
      <c r="F138" s="28"/>
      <c r="G138" s="28"/>
      <c r="H138" s="28"/>
      <c r="I138" s="28"/>
      <c r="J138" s="44"/>
      <c r="K138" s="44"/>
      <c r="L138" s="28">
        <f>C138+D138-E138+F138-G138+H138+J138-K138</f>
        <v>7170</v>
      </c>
      <c r="M138" s="28"/>
      <c r="N138" s="28">
        <f t="shared" si="13"/>
        <v>7170</v>
      </c>
      <c r="O138" s="38">
        <f>M138/$M$142</f>
        <v>0</v>
      </c>
    </row>
    <row r="139" spans="1:15" ht="15.95" customHeight="1" x14ac:dyDescent="0.2">
      <c r="A139" s="41" t="s">
        <v>225</v>
      </c>
      <c r="B139" s="29" t="s">
        <v>226</v>
      </c>
      <c r="C139" s="28">
        <v>70000</v>
      </c>
      <c r="D139" s="28"/>
      <c r="E139" s="28"/>
      <c r="F139" s="28"/>
      <c r="G139" s="28"/>
      <c r="H139" s="28"/>
      <c r="I139" s="28"/>
      <c r="J139" s="44"/>
      <c r="K139" s="44"/>
      <c r="L139" s="28">
        <f>C139+D139-E139+F139-G139+H139+J139-K139</f>
        <v>70000</v>
      </c>
      <c r="M139" s="28">
        <f>500+500+500</f>
        <v>1500</v>
      </c>
      <c r="N139" s="28">
        <f t="shared" si="13"/>
        <v>68500</v>
      </c>
      <c r="O139" s="38">
        <f>M139/$M$142</f>
        <v>2.6696884644955934E-4</v>
      </c>
    </row>
    <row r="140" spans="1:15" ht="31.5" customHeight="1" x14ac:dyDescent="0.2">
      <c r="A140" s="41">
        <v>453</v>
      </c>
      <c r="B140" s="100" t="s">
        <v>264</v>
      </c>
      <c r="C140" s="28">
        <v>0</v>
      </c>
      <c r="D140" s="28"/>
      <c r="E140" s="28"/>
      <c r="F140" s="28">
        <v>120000</v>
      </c>
      <c r="G140" s="28"/>
      <c r="H140" s="28"/>
      <c r="I140" s="28"/>
      <c r="J140" s="44"/>
      <c r="K140" s="44"/>
      <c r="L140" s="28">
        <f>C140+D140-E140+F140-G140+H140+J140-K140</f>
        <v>120000</v>
      </c>
      <c r="M140" s="28">
        <v>118168.58</v>
      </c>
      <c r="N140" s="28">
        <f t="shared" si="13"/>
        <v>1831.4199999999983</v>
      </c>
      <c r="O140" s="38"/>
    </row>
    <row r="141" spans="1:15" ht="36" customHeight="1" thickBot="1" x14ac:dyDescent="0.25">
      <c r="A141" s="41" t="s">
        <v>227</v>
      </c>
      <c r="B141" s="100" t="s">
        <v>228</v>
      </c>
      <c r="C141" s="28">
        <v>8750</v>
      </c>
      <c r="D141" s="28"/>
      <c r="E141" s="28"/>
      <c r="F141" s="28"/>
      <c r="G141" s="28"/>
      <c r="H141" s="28"/>
      <c r="I141" s="28"/>
      <c r="J141" s="44"/>
      <c r="K141" s="44"/>
      <c r="L141" s="28">
        <f>C141+D141-E141+F141-G141+H141+J141-K141</f>
        <v>8750</v>
      </c>
      <c r="M141" s="28">
        <v>1937.01</v>
      </c>
      <c r="N141" s="28">
        <f t="shared" si="13"/>
        <v>6812.99</v>
      </c>
      <c r="O141" s="38">
        <f>M141/$M$142</f>
        <v>3.4474755017417392E-4</v>
      </c>
    </row>
    <row r="142" spans="1:15" ht="18" customHeight="1" thickBot="1" x14ac:dyDescent="0.3">
      <c r="A142" s="32"/>
      <c r="B142" s="33" t="s">
        <v>90</v>
      </c>
      <c r="C142" s="34">
        <f t="shared" ref="C142:N142" si="16">SUM(C31:C141)</f>
        <v>8258523.6200000001</v>
      </c>
      <c r="D142" s="34">
        <f t="shared" si="16"/>
        <v>0</v>
      </c>
      <c r="E142" s="34">
        <f t="shared" si="16"/>
        <v>0</v>
      </c>
      <c r="F142" s="34">
        <f t="shared" si="16"/>
        <v>584600</v>
      </c>
      <c r="G142" s="34">
        <f t="shared" si="16"/>
        <v>584600</v>
      </c>
      <c r="H142" s="34">
        <f t="shared" si="16"/>
        <v>2655496.71</v>
      </c>
      <c r="I142" s="34">
        <f t="shared" si="16"/>
        <v>0</v>
      </c>
      <c r="J142" s="64">
        <f t="shared" si="16"/>
        <v>137000</v>
      </c>
      <c r="K142" s="64">
        <f t="shared" si="16"/>
        <v>137000</v>
      </c>
      <c r="L142" s="34">
        <f t="shared" si="16"/>
        <v>10914020.33</v>
      </c>
      <c r="M142" s="34">
        <f t="shared" si="16"/>
        <v>5618633.1100000003</v>
      </c>
      <c r="N142" s="34">
        <f t="shared" si="16"/>
        <v>5295387.2200000016</v>
      </c>
      <c r="O142" s="45">
        <v>1</v>
      </c>
    </row>
    <row r="143" spans="1:15" x14ac:dyDescent="0.2">
      <c r="A143" s="46"/>
      <c r="B143" s="75"/>
      <c r="C143" s="77"/>
      <c r="D143" s="76"/>
      <c r="E143" s="47"/>
      <c r="F143" s="47"/>
      <c r="G143" s="47"/>
      <c r="H143" s="47"/>
      <c r="I143" s="47"/>
      <c r="J143" s="65"/>
      <c r="K143" s="65"/>
      <c r="L143" s="47"/>
      <c r="M143" s="47"/>
      <c r="N143" s="47"/>
    </row>
    <row r="144" spans="1:15" ht="15.75" thickBot="1" x14ac:dyDescent="0.25">
      <c r="E144" s="12"/>
      <c r="F144" s="4"/>
      <c r="L144" s="14"/>
      <c r="M144" s="4"/>
    </row>
    <row r="145" spans="1:13" ht="15.75" x14ac:dyDescent="0.25">
      <c r="A145" s="1" t="s">
        <v>83</v>
      </c>
      <c r="B145" s="2"/>
      <c r="C145" s="3"/>
      <c r="D145" s="4"/>
      <c r="E145" s="4"/>
      <c r="F145" s="4"/>
      <c r="G145" s="4"/>
      <c r="H145" s="4"/>
      <c r="I145" s="4"/>
      <c r="J145" s="66"/>
      <c r="K145" s="66"/>
      <c r="L145" s="4"/>
      <c r="M145" s="4"/>
    </row>
    <row r="146" spans="1:13" ht="15.75" x14ac:dyDescent="0.25">
      <c r="A146" s="5" t="s">
        <v>2</v>
      </c>
      <c r="B146" s="6"/>
      <c r="C146" s="7"/>
      <c r="D146" s="4"/>
      <c r="E146" s="4"/>
      <c r="F146" s="4"/>
      <c r="G146" s="4"/>
      <c r="H146" s="4"/>
      <c r="I146" s="4"/>
      <c r="J146" s="66"/>
      <c r="K146" s="66"/>
      <c r="L146" s="4"/>
      <c r="M146" s="4"/>
    </row>
    <row r="147" spans="1:13" ht="5.0999999999999996" customHeight="1" thickBot="1" x14ac:dyDescent="0.25">
      <c r="A147" s="8"/>
      <c r="B147" s="9"/>
      <c r="C147" s="10"/>
      <c r="D147" s="4"/>
      <c r="E147" s="4"/>
      <c r="F147" s="4"/>
      <c r="G147" s="4"/>
      <c r="H147" s="4"/>
      <c r="I147" s="4"/>
      <c r="J147" s="66"/>
      <c r="K147" s="66"/>
      <c r="L147" s="4"/>
      <c r="M147" s="4"/>
    </row>
    <row r="148" spans="1:13" ht="6.95" customHeight="1" x14ac:dyDescent="0.2">
      <c r="A148" s="48"/>
      <c r="B148" s="49"/>
      <c r="C148" s="50"/>
      <c r="D148" s="4"/>
      <c r="E148" s="4"/>
      <c r="F148" s="4"/>
      <c r="G148" s="4"/>
      <c r="H148" s="4"/>
      <c r="I148" s="4"/>
      <c r="J148" s="66"/>
      <c r="K148" s="66"/>
      <c r="L148" s="4"/>
      <c r="M148" s="4"/>
    </row>
    <row r="149" spans="1:13" x14ac:dyDescent="0.2">
      <c r="A149" s="51" t="s">
        <v>84</v>
      </c>
      <c r="B149" s="52"/>
      <c r="C149" s="53"/>
      <c r="D149" s="4"/>
      <c r="E149" s="4"/>
      <c r="F149" s="4"/>
      <c r="G149" s="4"/>
      <c r="H149" s="4"/>
      <c r="I149" s="4"/>
      <c r="J149" s="66"/>
      <c r="K149" s="66"/>
      <c r="L149" s="4"/>
    </row>
    <row r="150" spans="1:13" x14ac:dyDescent="0.2">
      <c r="A150" s="54" t="s">
        <v>257</v>
      </c>
      <c r="B150" s="52"/>
      <c r="C150" s="69">
        <v>1808838.07</v>
      </c>
      <c r="D150" s="47"/>
      <c r="E150" s="4"/>
      <c r="F150" s="4"/>
      <c r="G150" s="4"/>
      <c r="H150" s="4"/>
      <c r="I150" s="4"/>
      <c r="J150" s="66"/>
      <c r="K150" s="66"/>
      <c r="L150" s="4"/>
    </row>
    <row r="151" spans="1:13" x14ac:dyDescent="0.2">
      <c r="A151" s="54" t="s">
        <v>258</v>
      </c>
      <c r="B151" s="52"/>
      <c r="C151" s="69">
        <v>-22528.77</v>
      </c>
      <c r="D151" s="47"/>
      <c r="E151" s="4"/>
      <c r="F151" s="4"/>
      <c r="G151" s="4"/>
      <c r="H151" s="4"/>
      <c r="I151" s="4"/>
      <c r="J151" s="66"/>
      <c r="K151" s="66"/>
      <c r="L151" s="4"/>
    </row>
    <row r="152" spans="1:13" x14ac:dyDescent="0.2">
      <c r="A152" s="54" t="s">
        <v>249</v>
      </c>
      <c r="B152" s="52"/>
      <c r="C152" s="69"/>
      <c r="D152" s="47"/>
      <c r="E152" s="4"/>
      <c r="F152" s="4"/>
      <c r="G152" s="4"/>
      <c r="H152" s="4"/>
      <c r="I152" s="4"/>
      <c r="J152" s="66"/>
      <c r="K152" s="66"/>
      <c r="L152" s="4"/>
    </row>
    <row r="153" spans="1:13" x14ac:dyDescent="0.2">
      <c r="A153" s="83" t="s">
        <v>239</v>
      </c>
      <c r="B153" s="52"/>
      <c r="C153" s="69"/>
      <c r="D153" s="47"/>
      <c r="E153" s="4"/>
      <c r="F153" s="4"/>
      <c r="G153" s="4"/>
      <c r="H153" s="4"/>
      <c r="I153" s="4"/>
      <c r="J153" s="66"/>
      <c r="K153" s="66"/>
      <c r="L153" s="4"/>
    </row>
    <row r="154" spans="1:13" x14ac:dyDescent="0.2">
      <c r="A154" s="83" t="s">
        <v>259</v>
      </c>
      <c r="B154" s="52"/>
      <c r="C154" s="69">
        <f>1174639.32+309594.02-600</f>
        <v>1483633.34</v>
      </c>
      <c r="D154" s="47"/>
      <c r="E154" s="4"/>
      <c r="F154" s="4"/>
      <c r="G154" s="4"/>
      <c r="H154" s="4"/>
      <c r="I154" s="4"/>
      <c r="J154" s="66"/>
      <c r="K154" s="66"/>
      <c r="L154" s="4"/>
    </row>
    <row r="155" spans="1:13" x14ac:dyDescent="0.2">
      <c r="A155" s="54" t="s">
        <v>85</v>
      </c>
      <c r="B155" s="52"/>
      <c r="C155" s="69">
        <f>M26</f>
        <v>5786371.459999999</v>
      </c>
      <c r="D155" s="47"/>
      <c r="E155" s="4"/>
      <c r="F155" s="4"/>
      <c r="G155" s="4"/>
      <c r="H155" s="4"/>
      <c r="I155" s="4"/>
      <c r="J155" s="66"/>
      <c r="K155" s="66"/>
      <c r="L155" s="4"/>
    </row>
    <row r="156" spans="1:13" x14ac:dyDescent="0.2">
      <c r="A156" s="54" t="s">
        <v>86</v>
      </c>
      <c r="B156" s="52"/>
      <c r="C156" s="70">
        <f>-M142</f>
        <v>-5618633.1100000003</v>
      </c>
      <c r="D156" s="4"/>
      <c r="E156" s="4"/>
      <c r="F156" s="4"/>
      <c r="G156" s="4"/>
      <c r="H156" s="4"/>
      <c r="I156" s="4"/>
      <c r="J156" s="66"/>
      <c r="K156" s="66"/>
      <c r="L156" s="4"/>
    </row>
    <row r="157" spans="1:13" ht="15.75" x14ac:dyDescent="0.25">
      <c r="A157" s="55" t="s">
        <v>87</v>
      </c>
      <c r="B157" s="56"/>
      <c r="C157" s="71">
        <f>SUM(C150:C156)</f>
        <v>3437680.9899999993</v>
      </c>
      <c r="D157" s="4"/>
      <c r="E157" s="4"/>
      <c r="F157" s="4"/>
      <c r="G157" s="4"/>
      <c r="H157" s="4"/>
      <c r="I157" s="4"/>
      <c r="J157" s="66"/>
      <c r="K157" s="66"/>
      <c r="L157" s="4"/>
    </row>
    <row r="158" spans="1:13" ht="15.75" x14ac:dyDescent="0.25">
      <c r="A158" s="55"/>
      <c r="B158" s="56"/>
      <c r="C158" s="71"/>
      <c r="D158" s="4"/>
      <c r="E158" s="4"/>
      <c r="F158" s="4"/>
      <c r="G158" s="4"/>
      <c r="H158" s="4"/>
      <c r="I158" s="4"/>
      <c r="J158" s="66"/>
      <c r="K158" s="66"/>
      <c r="L158" s="4"/>
    </row>
    <row r="159" spans="1:13" x14ac:dyDescent="0.2">
      <c r="A159" s="51" t="s">
        <v>88</v>
      </c>
      <c r="B159" s="52"/>
      <c r="C159" s="69"/>
      <c r="D159" s="4"/>
      <c r="E159" s="4"/>
      <c r="F159" s="4"/>
      <c r="G159" s="4"/>
      <c r="H159" s="4"/>
      <c r="I159" s="4"/>
      <c r="J159" s="66"/>
      <c r="K159" s="66"/>
      <c r="L159" s="4"/>
    </row>
    <row r="160" spans="1:13" ht="12" customHeight="1" x14ac:dyDescent="0.2">
      <c r="A160" s="54" t="s">
        <v>147</v>
      </c>
      <c r="B160" s="52"/>
      <c r="C160" s="69">
        <v>276.89999999999998</v>
      </c>
      <c r="D160" s="4"/>
      <c r="E160" s="4"/>
      <c r="F160" s="4"/>
      <c r="G160" s="4"/>
      <c r="H160" s="4"/>
      <c r="I160" s="4"/>
      <c r="J160" s="66"/>
      <c r="K160" s="66"/>
      <c r="L160" s="4"/>
    </row>
    <row r="161" spans="1:13" ht="12" customHeight="1" x14ac:dyDescent="0.2">
      <c r="A161" s="54" t="s">
        <v>241</v>
      </c>
      <c r="B161" s="52"/>
      <c r="C161" s="69">
        <v>825</v>
      </c>
      <c r="D161" s="4"/>
      <c r="E161" s="4"/>
      <c r="F161" s="4"/>
      <c r="G161" s="4"/>
      <c r="H161" s="4"/>
      <c r="I161" s="4"/>
      <c r="J161" s="66"/>
      <c r="K161" s="66"/>
      <c r="L161" s="4"/>
    </row>
    <row r="162" spans="1:13" ht="12" customHeight="1" x14ac:dyDescent="0.2">
      <c r="A162" s="54" t="s">
        <v>248</v>
      </c>
      <c r="B162" s="52"/>
      <c r="C162" s="69"/>
      <c r="D162" s="4"/>
      <c r="E162" s="4"/>
      <c r="F162" s="4"/>
      <c r="G162" s="4"/>
      <c r="H162" s="4"/>
      <c r="I162" s="4"/>
      <c r="J162" s="66"/>
      <c r="K162" s="66"/>
      <c r="L162" s="4"/>
    </row>
    <row r="163" spans="1:13" x14ac:dyDescent="0.2">
      <c r="A163" s="54" t="s">
        <v>150</v>
      </c>
      <c r="B163" s="52"/>
      <c r="C163" s="69">
        <f>7404.16+3351.67+693.92+28.04-0.01</f>
        <v>11477.78</v>
      </c>
      <c r="D163" s="79"/>
      <c r="E163" s="4"/>
      <c r="F163" s="4"/>
      <c r="G163" s="4"/>
      <c r="H163" s="4"/>
      <c r="I163" s="4"/>
      <c r="J163" s="66"/>
      <c r="K163" s="66"/>
      <c r="L163" s="4"/>
    </row>
    <row r="164" spans="1:13" x14ac:dyDescent="0.2">
      <c r="A164" s="54" t="s">
        <v>149</v>
      </c>
      <c r="B164" s="52"/>
      <c r="C164" s="69">
        <v>2380.69</v>
      </c>
      <c r="D164" s="80"/>
      <c r="E164" s="4"/>
      <c r="F164" s="4"/>
      <c r="G164" s="4"/>
      <c r="H164" s="4"/>
      <c r="I164" s="4"/>
      <c r="J164" s="66"/>
      <c r="K164" s="66"/>
      <c r="L164" s="4"/>
    </row>
    <row r="165" spans="1:13" x14ac:dyDescent="0.2">
      <c r="A165" s="54" t="s">
        <v>148</v>
      </c>
      <c r="B165" s="52"/>
      <c r="C165" s="69">
        <v>7065.83</v>
      </c>
      <c r="D165" s="80"/>
      <c r="E165" s="4"/>
      <c r="F165" s="4"/>
      <c r="G165" s="4"/>
      <c r="H165" s="4"/>
      <c r="I165" s="4"/>
      <c r="J165" s="66"/>
      <c r="K165" s="66"/>
      <c r="L165" s="4"/>
    </row>
    <row r="166" spans="1:13" x14ac:dyDescent="0.2">
      <c r="A166" s="54" t="s">
        <v>253</v>
      </c>
      <c r="B166" s="52"/>
      <c r="C166" s="69">
        <f>191.14+163.24-100.05</f>
        <v>254.32999999999998</v>
      </c>
      <c r="D166" s="80"/>
      <c r="E166" s="4"/>
      <c r="F166" s="4"/>
      <c r="G166" s="4"/>
      <c r="H166" s="4"/>
      <c r="I166" s="4"/>
      <c r="J166" s="66"/>
      <c r="K166" s="66"/>
      <c r="L166" s="4"/>
    </row>
    <row r="167" spans="1:13" x14ac:dyDescent="0.2">
      <c r="A167" s="54"/>
      <c r="B167" s="52"/>
      <c r="C167" s="69"/>
      <c r="D167" s="80"/>
      <c r="E167" s="4"/>
      <c r="F167" s="4"/>
      <c r="G167" s="4"/>
      <c r="H167" s="4"/>
      <c r="I167" s="4"/>
      <c r="J167" s="66"/>
      <c r="K167" s="66"/>
      <c r="L167" s="4"/>
    </row>
    <row r="168" spans="1:13" x14ac:dyDescent="0.2">
      <c r="A168" s="54"/>
      <c r="B168" s="52"/>
      <c r="C168" s="70"/>
      <c r="D168" s="81"/>
      <c r="E168" s="82"/>
      <c r="F168" s="4"/>
      <c r="G168" s="4"/>
      <c r="H168" s="4"/>
      <c r="I168" s="4"/>
      <c r="J168" s="66"/>
      <c r="K168" s="66"/>
      <c r="L168" s="4"/>
    </row>
    <row r="169" spans="1:13" ht="15.75" x14ac:dyDescent="0.25">
      <c r="A169" s="55"/>
      <c r="B169" s="56"/>
      <c r="C169" s="71">
        <f>SUM(C160:C168)</f>
        <v>22280.530000000002</v>
      </c>
      <c r="D169" s="81"/>
      <c r="E169" s="82"/>
      <c r="F169" s="4"/>
      <c r="G169" s="4"/>
      <c r="H169" s="4"/>
      <c r="I169" s="4"/>
      <c r="J169" s="66"/>
      <c r="K169" s="66"/>
      <c r="L169" s="4"/>
    </row>
    <row r="170" spans="1:13" ht="2.1" customHeight="1" x14ac:dyDescent="0.25">
      <c r="A170" s="55"/>
      <c r="B170" s="56"/>
      <c r="C170" s="72"/>
      <c r="D170" s="80"/>
      <c r="E170" s="4"/>
      <c r="F170" s="4"/>
      <c r="G170" s="4"/>
      <c r="H170" s="4"/>
      <c r="I170" s="4"/>
      <c r="J170" s="66"/>
      <c r="K170" s="66"/>
      <c r="L170" s="4"/>
    </row>
    <row r="171" spans="1:13" x14ac:dyDescent="0.2">
      <c r="A171" s="54"/>
      <c r="B171" s="52"/>
      <c r="C171" s="69"/>
      <c r="D171" s="80"/>
      <c r="E171" s="4"/>
      <c r="F171" s="4"/>
      <c r="G171" s="4"/>
      <c r="H171" s="4"/>
      <c r="I171" s="4"/>
      <c r="J171" s="66"/>
      <c r="K171" s="66"/>
      <c r="L171" s="4"/>
    </row>
    <row r="172" spans="1:13" ht="2.1" customHeight="1" thickBot="1" x14ac:dyDescent="0.3">
      <c r="A172" s="57" t="s">
        <v>238</v>
      </c>
      <c r="B172" s="58"/>
      <c r="C172" s="68">
        <f>C157+C169</f>
        <v>3459961.5199999991</v>
      </c>
      <c r="D172" s="79"/>
      <c r="E172" s="4"/>
      <c r="F172" s="4"/>
      <c r="G172" s="4"/>
      <c r="H172" s="4"/>
      <c r="I172" s="4"/>
      <c r="J172" s="66"/>
      <c r="K172" s="66"/>
      <c r="L172" s="4"/>
    </row>
    <row r="173" spans="1:13" ht="9.9499999999999993" customHeight="1" x14ac:dyDescent="0.2">
      <c r="A173" s="54"/>
      <c r="B173" s="52"/>
      <c r="C173" s="69"/>
      <c r="D173" s="79"/>
      <c r="E173" s="4"/>
      <c r="F173" s="4"/>
      <c r="G173" s="4"/>
      <c r="H173" s="4"/>
      <c r="I173" s="4"/>
      <c r="J173" s="66"/>
      <c r="K173" s="66"/>
      <c r="L173" s="4"/>
    </row>
    <row r="174" spans="1:13" ht="16.5" thickBot="1" x14ac:dyDescent="0.3">
      <c r="A174" s="57" t="s">
        <v>273</v>
      </c>
      <c r="B174" s="58"/>
      <c r="C174" s="68">
        <f>C157+C169</f>
        <v>3459961.5199999991</v>
      </c>
      <c r="D174" s="81"/>
      <c r="E174" s="4"/>
      <c r="F174" s="4"/>
      <c r="G174" s="4"/>
      <c r="H174" s="4"/>
      <c r="I174" s="4"/>
      <c r="J174" s="66"/>
      <c r="K174" s="66"/>
      <c r="L174" s="4"/>
      <c r="M174" s="4"/>
    </row>
    <row r="175" spans="1:13" x14ac:dyDescent="0.2">
      <c r="A175" s="52"/>
      <c r="B175" s="86"/>
      <c r="D175" s="4"/>
      <c r="E175" s="4"/>
      <c r="F175" s="4"/>
      <c r="G175" s="4"/>
      <c r="H175" s="4"/>
      <c r="I175" s="4"/>
      <c r="J175" s="66"/>
      <c r="K175" s="66"/>
      <c r="L175" s="4"/>
    </row>
    <row r="176" spans="1:13" x14ac:dyDescent="0.2">
      <c r="B176" s="86"/>
      <c r="D176" s="4"/>
      <c r="E176" s="4"/>
    </row>
    <row r="177" spans="2:12" x14ac:dyDescent="0.2">
      <c r="D177" s="4"/>
    </row>
    <row r="179" spans="2:12" x14ac:dyDescent="0.2">
      <c r="I179" s="4"/>
      <c r="K179" s="66"/>
      <c r="L179" s="4"/>
    </row>
    <row r="180" spans="2:12" x14ac:dyDescent="0.2">
      <c r="I180" s="4"/>
      <c r="K180" s="66"/>
      <c r="L180" s="4"/>
    </row>
    <row r="181" spans="2:12" x14ac:dyDescent="0.2">
      <c r="I181" s="4"/>
      <c r="K181" s="66"/>
      <c r="L181" s="4"/>
    </row>
    <row r="182" spans="2:12" x14ac:dyDescent="0.2">
      <c r="C182" s="14"/>
      <c r="D182" s="4"/>
    </row>
    <row r="183" spans="2:12" x14ac:dyDescent="0.2">
      <c r="C183" s="14"/>
      <c r="D183" s="4"/>
    </row>
    <row r="184" spans="2:12" x14ac:dyDescent="0.2">
      <c r="C184" s="14"/>
      <c r="D184" s="4"/>
    </row>
    <row r="185" spans="2:12" x14ac:dyDescent="0.2">
      <c r="C185" s="14"/>
      <c r="D185" s="4"/>
    </row>
    <row r="186" spans="2:12" x14ac:dyDescent="0.2">
      <c r="D186" s="4"/>
    </row>
    <row r="187" spans="2:12" x14ac:dyDescent="0.2">
      <c r="D187" s="4"/>
    </row>
    <row r="188" spans="2:12" x14ac:dyDescent="0.2">
      <c r="B188" s="84" t="s">
        <v>254</v>
      </c>
      <c r="C188" s="85" t="s">
        <v>255</v>
      </c>
      <c r="E188" s="85"/>
      <c r="G188" s="84" t="s">
        <v>260</v>
      </c>
      <c r="J188" s="85" t="s">
        <v>252</v>
      </c>
      <c r="K188" s="74"/>
    </row>
    <row r="189" spans="2:12" x14ac:dyDescent="0.2">
      <c r="B189" s="84" t="s">
        <v>89</v>
      </c>
      <c r="C189" s="85" t="s">
        <v>261</v>
      </c>
      <c r="E189" s="85"/>
      <c r="G189" s="84" t="s">
        <v>247</v>
      </c>
      <c r="J189" s="84" t="s">
        <v>242</v>
      </c>
    </row>
    <row r="191" spans="2:12" x14ac:dyDescent="0.2">
      <c r="C191" s="13"/>
      <c r="D191" s="4"/>
    </row>
    <row r="192" spans="2:12" x14ac:dyDescent="0.2">
      <c r="C192" s="14"/>
      <c r="D192" s="4"/>
    </row>
    <row r="193" spans="3:12" x14ac:dyDescent="0.2">
      <c r="C193" s="14"/>
      <c r="D193" s="4"/>
      <c r="I193" s="4"/>
      <c r="K193" s="66"/>
      <c r="L193" s="4"/>
    </row>
    <row r="194" spans="3:12" x14ac:dyDescent="0.2">
      <c r="C194" s="14"/>
      <c r="D194" s="4"/>
      <c r="I194" s="4"/>
      <c r="K194" s="66"/>
      <c r="L194" s="4"/>
    </row>
    <row r="195" spans="3:12" x14ac:dyDescent="0.2">
      <c r="G195" s="59"/>
      <c r="I195" s="59"/>
      <c r="K195" s="67"/>
      <c r="L195" s="4"/>
    </row>
    <row r="196" spans="3:12" x14ac:dyDescent="0.2">
      <c r="G196" s="59"/>
      <c r="I196" s="59"/>
      <c r="K196" s="67"/>
      <c r="L196" s="4"/>
    </row>
    <row r="197" spans="3:12" x14ac:dyDescent="0.2">
      <c r="G197" s="59"/>
      <c r="L197" s="4"/>
    </row>
    <row r="198" spans="3:12" x14ac:dyDescent="0.2">
      <c r="G198" s="59"/>
    </row>
    <row r="199" spans="3:12" x14ac:dyDescent="0.2">
      <c r="G199" s="59"/>
    </row>
    <row r="200" spans="3:12" x14ac:dyDescent="0.2">
      <c r="G200" s="59"/>
      <c r="L200" s="4"/>
    </row>
    <row r="201" spans="3:12" x14ac:dyDescent="0.2">
      <c r="G201" s="59"/>
    </row>
    <row r="202" spans="3:12" x14ac:dyDescent="0.2">
      <c r="G202" s="59"/>
    </row>
    <row r="203" spans="3:12" x14ac:dyDescent="0.2">
      <c r="G203" s="59"/>
    </row>
    <row r="204" spans="3:12" x14ac:dyDescent="0.2">
      <c r="G204" s="59"/>
    </row>
    <row r="205" spans="3:12" x14ac:dyDescent="0.2">
      <c r="G205" s="59"/>
    </row>
    <row r="206" spans="3:12" x14ac:dyDescent="0.2">
      <c r="C206" s="4">
        <v>3460961.52</v>
      </c>
      <c r="G206" s="59"/>
    </row>
    <row r="207" spans="3:12" x14ac:dyDescent="0.2">
      <c r="C207" s="87">
        <f>+C174-C206</f>
        <v>-1000.0000000009313</v>
      </c>
      <c r="G207" s="59"/>
    </row>
    <row r="208" spans="3:12" x14ac:dyDescent="0.2">
      <c r="C208" s="13"/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</sheetData>
  <mergeCells count="4">
    <mergeCell ref="B6:B7"/>
    <mergeCell ref="H6:I6"/>
    <mergeCell ref="J6:K6"/>
    <mergeCell ref="M6:M7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00" r:id="rId1"/>
  <rowBreaks count="2" manualBreakCount="2">
    <brk id="56" max="16383" man="1"/>
    <brk id="121" max="16383" man="1"/>
  </rowBreaks>
  <ignoredErrors>
    <ignoredError sqref="L51 L73 L64 L75 L20 L12 M26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BB33-4421-4A53-93F9-D30B41281952}">
  <dimension ref="A1:W214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168" sqref="C168"/>
    </sheetView>
  </sheetViews>
  <sheetFormatPr baseColWidth="10" defaultColWidth="11.42578125" defaultRowHeight="15" x14ac:dyDescent="0.2"/>
  <cols>
    <col min="1" max="1" width="11.7109375" style="11" customWidth="1"/>
    <col min="2" max="2" width="60.7109375" style="11" customWidth="1"/>
    <col min="3" max="3" width="16.42578125" style="11" customWidth="1"/>
    <col min="4" max="4" width="13" style="11" hidden="1" customWidth="1"/>
    <col min="5" max="5" width="15.28515625" style="11" hidden="1" customWidth="1"/>
    <col min="6" max="6" width="15.140625" style="11" customWidth="1"/>
    <col min="7" max="7" width="14.28515625" style="11" customWidth="1"/>
    <col min="8" max="8" width="15.5703125" style="11" customWidth="1"/>
    <col min="9" max="9" width="11" style="11" customWidth="1"/>
    <col min="10" max="10" width="13.42578125" style="52" customWidth="1"/>
    <col min="11" max="11" width="14.7109375" style="52" customWidth="1"/>
    <col min="12" max="12" width="13.42578125" style="52" customWidth="1"/>
    <col min="13" max="13" width="14.42578125" style="52" customWidth="1"/>
    <col min="14" max="15" width="14.42578125" style="52" hidden="1" customWidth="1"/>
    <col min="16" max="18" width="16.42578125" style="11" customWidth="1"/>
    <col min="19" max="19" width="10.7109375" style="11" customWidth="1"/>
    <col min="20" max="20" width="11.42578125" style="11"/>
    <col min="21" max="21" width="16.7109375" style="52" customWidth="1"/>
    <col min="22" max="22" width="13.42578125" style="52" customWidth="1"/>
    <col min="23" max="23" width="14.140625" style="11" bestFit="1" customWidth="1"/>
    <col min="24" max="16384" width="11.42578125" style="11"/>
  </cols>
  <sheetData>
    <row r="1" spans="1:22" ht="15.75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0"/>
      <c r="K1" s="60"/>
      <c r="L1" s="60"/>
      <c r="M1" s="60"/>
      <c r="N1" s="60"/>
      <c r="O1" s="60"/>
      <c r="P1" s="6"/>
      <c r="Q1" s="6"/>
      <c r="R1" s="6"/>
      <c r="S1" s="15"/>
      <c r="U1" s="60"/>
      <c r="V1" s="60"/>
    </row>
    <row r="2" spans="1:22" ht="15.75" x14ac:dyDescent="0.25">
      <c r="A2" s="6" t="s">
        <v>1</v>
      </c>
      <c r="B2" s="6"/>
      <c r="C2" s="6"/>
      <c r="D2" s="6"/>
      <c r="E2" s="6"/>
      <c r="F2" s="6"/>
      <c r="G2" s="6"/>
      <c r="H2" s="6"/>
      <c r="I2" s="6"/>
      <c r="J2" s="60"/>
      <c r="K2" s="60"/>
      <c r="L2" s="60"/>
      <c r="M2" s="60"/>
      <c r="N2" s="60"/>
      <c r="O2" s="60"/>
      <c r="P2" s="6"/>
      <c r="Q2" s="6"/>
      <c r="R2" s="6"/>
      <c r="S2" s="15"/>
      <c r="U2" s="60"/>
      <c r="V2" s="60"/>
    </row>
    <row r="3" spans="1:22" ht="15.75" x14ac:dyDescent="0.25">
      <c r="A3" s="6" t="s">
        <v>262</v>
      </c>
      <c r="B3" s="6"/>
      <c r="C3" s="6"/>
      <c r="D3" s="6"/>
      <c r="E3" s="6"/>
      <c r="F3" s="6"/>
      <c r="G3" s="6"/>
      <c r="H3" s="6"/>
      <c r="I3" s="6"/>
      <c r="J3" s="60"/>
      <c r="K3" s="60"/>
      <c r="L3" s="60"/>
      <c r="M3" s="60"/>
      <c r="N3" s="60"/>
      <c r="O3" s="60"/>
      <c r="P3" s="6"/>
      <c r="Q3" s="6"/>
      <c r="R3" s="6"/>
      <c r="S3" s="15"/>
      <c r="U3" s="60"/>
      <c r="V3" s="60"/>
    </row>
    <row r="4" spans="1:22" ht="15.75" x14ac:dyDescent="0.25">
      <c r="A4" s="6" t="s">
        <v>2</v>
      </c>
      <c r="B4" s="6"/>
      <c r="C4" s="6"/>
      <c r="D4" s="6"/>
      <c r="E4" s="6"/>
      <c r="F4" s="6"/>
      <c r="G4" s="6"/>
      <c r="H4" s="6"/>
      <c r="I4" s="6"/>
      <c r="J4" s="60"/>
      <c r="K4" s="60"/>
      <c r="L4" s="60"/>
      <c r="M4" s="60"/>
      <c r="N4" s="60"/>
      <c r="O4" s="60"/>
      <c r="P4" s="6"/>
      <c r="Q4" s="6"/>
      <c r="R4" s="6"/>
      <c r="S4" s="15"/>
      <c r="U4" s="60"/>
      <c r="V4" s="60"/>
    </row>
    <row r="5" spans="1:22" ht="16.5" thickBot="1" x14ac:dyDescent="0.3">
      <c r="A5" s="15"/>
      <c r="B5" s="15"/>
      <c r="C5" s="15"/>
      <c r="D5" s="15"/>
      <c r="E5" s="15"/>
      <c r="F5" s="15"/>
      <c r="G5" s="15"/>
      <c r="H5" s="15"/>
      <c r="I5" s="15"/>
      <c r="J5" s="56"/>
      <c r="K5" s="56"/>
      <c r="L5" s="56"/>
      <c r="M5" s="56"/>
      <c r="N5" s="56"/>
      <c r="O5" s="56"/>
      <c r="P5" s="15"/>
      <c r="Q5" s="15"/>
      <c r="R5" s="15"/>
      <c r="S5" s="15"/>
      <c r="U5" s="56"/>
      <c r="V5" s="56"/>
    </row>
    <row r="6" spans="1:22" ht="16.5" thickBot="1" x14ac:dyDescent="0.3">
      <c r="A6" s="16" t="s">
        <v>3</v>
      </c>
      <c r="B6" s="130" t="s">
        <v>4</v>
      </c>
      <c r="C6" s="16" t="s">
        <v>5</v>
      </c>
      <c r="D6" s="17" t="s">
        <v>246</v>
      </c>
      <c r="E6" s="18"/>
      <c r="F6" s="17" t="s">
        <v>6</v>
      </c>
      <c r="G6" s="18"/>
      <c r="H6" s="132" t="s">
        <v>7</v>
      </c>
      <c r="I6" s="133"/>
      <c r="J6" s="134" t="s">
        <v>269</v>
      </c>
      <c r="K6" s="135"/>
      <c r="L6" s="134" t="s">
        <v>237</v>
      </c>
      <c r="M6" s="135"/>
      <c r="N6" s="134"/>
      <c r="O6" s="135"/>
      <c r="P6" s="16" t="s">
        <v>5</v>
      </c>
      <c r="Q6" s="130" t="s">
        <v>240</v>
      </c>
      <c r="R6" s="16" t="s">
        <v>8</v>
      </c>
      <c r="S6" s="16" t="s">
        <v>9</v>
      </c>
    </row>
    <row r="7" spans="1:22" ht="32.25" thickBot="1" x14ac:dyDescent="0.3">
      <c r="A7" s="19" t="s">
        <v>10</v>
      </c>
      <c r="B7" s="131"/>
      <c r="C7" s="19" t="s">
        <v>11</v>
      </c>
      <c r="D7" s="20" t="s">
        <v>12</v>
      </c>
      <c r="E7" s="20" t="s">
        <v>13</v>
      </c>
      <c r="F7" s="20" t="s">
        <v>12</v>
      </c>
      <c r="G7" s="20" t="s">
        <v>13</v>
      </c>
      <c r="H7" s="20" t="s">
        <v>12</v>
      </c>
      <c r="I7" s="99" t="s">
        <v>13</v>
      </c>
      <c r="J7" s="61" t="s">
        <v>12</v>
      </c>
      <c r="K7" s="73" t="s">
        <v>13</v>
      </c>
      <c r="L7" s="61" t="s">
        <v>12</v>
      </c>
      <c r="M7" s="73" t="s">
        <v>13</v>
      </c>
      <c r="N7" s="61"/>
      <c r="O7" s="73"/>
      <c r="P7" s="19" t="s">
        <v>14</v>
      </c>
      <c r="Q7" s="131"/>
      <c r="R7" s="19" t="s">
        <v>15</v>
      </c>
      <c r="S7" s="19" t="s">
        <v>16</v>
      </c>
    </row>
    <row r="8" spans="1:22" ht="15.95" customHeight="1" x14ac:dyDescent="0.25">
      <c r="A8" s="22"/>
      <c r="B8" s="22"/>
      <c r="C8" s="23"/>
      <c r="D8" s="36"/>
      <c r="E8" s="36"/>
      <c r="F8" s="36"/>
      <c r="G8" s="36"/>
      <c r="H8" s="36"/>
      <c r="I8" s="36"/>
      <c r="J8" s="62"/>
      <c r="K8" s="62"/>
      <c r="L8" s="62"/>
      <c r="M8" s="62"/>
      <c r="N8" s="89"/>
      <c r="O8" s="89"/>
      <c r="P8" s="23"/>
      <c r="Q8" s="23"/>
      <c r="R8" s="23"/>
      <c r="S8" s="24"/>
    </row>
    <row r="9" spans="1:22" ht="15.95" customHeight="1" x14ac:dyDescent="0.25">
      <c r="A9" s="25"/>
      <c r="B9" s="25" t="s">
        <v>180</v>
      </c>
      <c r="C9" s="28"/>
      <c r="D9" s="28"/>
      <c r="E9" s="28"/>
      <c r="F9" s="28"/>
      <c r="G9" s="28"/>
      <c r="H9" s="28"/>
      <c r="I9" s="28"/>
      <c r="J9" s="44"/>
      <c r="K9" s="44"/>
      <c r="L9" s="44"/>
      <c r="M9" s="44"/>
      <c r="N9" s="90"/>
      <c r="O9" s="90"/>
      <c r="P9" s="28"/>
      <c r="Q9" s="28"/>
      <c r="R9" s="28"/>
      <c r="S9" s="27"/>
    </row>
    <row r="10" spans="1:22" ht="15.95" customHeight="1" x14ac:dyDescent="0.25">
      <c r="A10" s="29" t="s">
        <v>17</v>
      </c>
      <c r="B10" s="29" t="s">
        <v>181</v>
      </c>
      <c r="C10" s="28">
        <v>37000</v>
      </c>
      <c r="D10" s="28"/>
      <c r="E10" s="28"/>
      <c r="F10" s="28"/>
      <c r="G10" s="28"/>
      <c r="H10" s="28"/>
      <c r="I10" s="28"/>
      <c r="J10" s="44"/>
      <c r="K10" s="44"/>
      <c r="L10" s="44"/>
      <c r="M10" s="44"/>
      <c r="N10" s="90"/>
      <c r="O10" s="90"/>
      <c r="P10" s="28">
        <f>C10+D10-E10+F10-G10+H10-I10+J10-K10+L10-M10+N10-O10</f>
        <v>37000</v>
      </c>
      <c r="Q10" s="28">
        <f>+'[1]ING SEPTIEMBRE 2024'!$Q$9</f>
        <v>32001</v>
      </c>
      <c r="R10" s="28">
        <f t="shared" ref="R10:R22" si="0">P10-Q10</f>
        <v>4999</v>
      </c>
      <c r="S10" s="88">
        <f>Q10/$Q$26</f>
        <v>4.9631727033038909E-3</v>
      </c>
    </row>
    <row r="11" spans="1:22" ht="15.95" hidden="1" customHeight="1" x14ac:dyDescent="0.25">
      <c r="A11" s="29" t="s">
        <v>27</v>
      </c>
      <c r="B11" s="29" t="s">
        <v>28</v>
      </c>
      <c r="C11" s="28">
        <v>0</v>
      </c>
      <c r="D11" s="28"/>
      <c r="E11" s="28"/>
      <c r="F11" s="28"/>
      <c r="G11" s="28"/>
      <c r="H11" s="28"/>
      <c r="I11" s="28"/>
      <c r="J11" s="44"/>
      <c r="K11" s="44"/>
      <c r="L11" s="44"/>
      <c r="M11" s="44"/>
      <c r="N11" s="90"/>
      <c r="O11" s="90"/>
      <c r="P11" s="28">
        <f>C11+D11-E11+F11-G11+J11-K11</f>
        <v>0</v>
      </c>
      <c r="Q11" s="28"/>
      <c r="R11" s="28">
        <v>0</v>
      </c>
      <c r="S11" s="88"/>
    </row>
    <row r="12" spans="1:22" ht="15.95" customHeight="1" x14ac:dyDescent="0.25">
      <c r="A12" s="29" t="s">
        <v>18</v>
      </c>
      <c r="B12" s="29" t="s">
        <v>182</v>
      </c>
      <c r="C12" s="28">
        <v>30500</v>
      </c>
      <c r="D12" s="28"/>
      <c r="E12" s="28"/>
      <c r="F12" s="28"/>
      <c r="G12" s="28"/>
      <c r="H12" s="28"/>
      <c r="I12" s="28"/>
      <c r="J12" s="44"/>
      <c r="K12" s="44"/>
      <c r="L12" s="44"/>
      <c r="M12" s="44"/>
      <c r="N12" s="90"/>
      <c r="O12" s="90"/>
      <c r="P12" s="28">
        <f t="shared" ref="P12:P25" si="1">C12+D12-E12+F12-G12+H12-I12+J12-K12+L12-M12+N12-O12</f>
        <v>30500</v>
      </c>
      <c r="Q12" s="28">
        <f>+'[1]ING SEPTIEMBRE 2024'!$Q$11</f>
        <v>28745.41</v>
      </c>
      <c r="R12" s="28">
        <f t="shared" si="0"/>
        <v>1754.5900000000001</v>
      </c>
      <c r="S12" s="88">
        <f>Q12/$Q$26</f>
        <v>4.4582492502508887E-3</v>
      </c>
    </row>
    <row r="13" spans="1:22" ht="15.95" customHeight="1" x14ac:dyDescent="0.25">
      <c r="A13" s="29" t="s">
        <v>19</v>
      </c>
      <c r="B13" s="29" t="s">
        <v>183</v>
      </c>
      <c r="C13" s="28">
        <v>3500</v>
      </c>
      <c r="D13" s="28"/>
      <c r="E13" s="28"/>
      <c r="F13" s="28"/>
      <c r="G13" s="28"/>
      <c r="H13" s="28"/>
      <c r="I13" s="28"/>
      <c r="J13" s="44"/>
      <c r="K13" s="44"/>
      <c r="L13" s="44"/>
      <c r="M13" s="44"/>
      <c r="N13" s="90"/>
      <c r="O13" s="90"/>
      <c r="P13" s="28">
        <f t="shared" si="1"/>
        <v>3500</v>
      </c>
      <c r="Q13" s="28"/>
      <c r="R13" s="28">
        <f t="shared" si="0"/>
        <v>3500</v>
      </c>
      <c r="S13" s="88">
        <f>Q13/$Q$26</f>
        <v>0</v>
      </c>
    </row>
    <row r="14" spans="1:22" ht="15.95" customHeight="1" x14ac:dyDescent="0.25">
      <c r="A14" s="29"/>
      <c r="B14" s="25" t="s">
        <v>184</v>
      </c>
      <c r="C14" s="28"/>
      <c r="D14" s="28"/>
      <c r="E14" s="28"/>
      <c r="F14" s="28"/>
      <c r="G14" s="28"/>
      <c r="H14" s="28"/>
      <c r="I14" s="28"/>
      <c r="J14" s="44"/>
      <c r="K14" s="44"/>
      <c r="L14" s="44"/>
      <c r="M14" s="44"/>
      <c r="N14" s="90"/>
      <c r="O14" s="90"/>
      <c r="P14" s="28">
        <f t="shared" si="1"/>
        <v>0</v>
      </c>
      <c r="Q14" s="28"/>
      <c r="R14" s="28"/>
      <c r="S14" s="88"/>
    </row>
    <row r="15" spans="1:22" ht="15.95" customHeight="1" x14ac:dyDescent="0.25">
      <c r="A15" s="29" t="s">
        <v>185</v>
      </c>
      <c r="B15" s="29" t="s">
        <v>233</v>
      </c>
      <c r="C15" s="28">
        <v>8800</v>
      </c>
      <c r="D15" s="28"/>
      <c r="E15" s="28"/>
      <c r="F15" s="28"/>
      <c r="G15" s="28"/>
      <c r="H15" s="28"/>
      <c r="I15" s="28"/>
      <c r="J15" s="44"/>
      <c r="K15" s="44"/>
      <c r="L15" s="44">
        <v>30000</v>
      </c>
      <c r="M15" s="44"/>
      <c r="N15" s="90"/>
      <c r="O15" s="90"/>
      <c r="P15" s="28">
        <f t="shared" si="1"/>
        <v>38800</v>
      </c>
      <c r="Q15" s="28">
        <f>+'[1]ING SEPTIEMBRE 2024'!$Q$17</f>
        <v>30491.49</v>
      </c>
      <c r="R15" s="28">
        <f t="shared" si="0"/>
        <v>8308.5099999999984</v>
      </c>
      <c r="S15" s="88">
        <f>Q15/$Q$26</f>
        <v>4.7290563060861709E-3</v>
      </c>
    </row>
    <row r="16" spans="1:22" ht="15.95" customHeight="1" x14ac:dyDescent="0.25">
      <c r="A16" s="25" t="s">
        <v>230</v>
      </c>
      <c r="B16" s="25" t="s">
        <v>231</v>
      </c>
      <c r="C16" s="28"/>
      <c r="D16" s="28"/>
      <c r="E16" s="28"/>
      <c r="F16" s="28"/>
      <c r="G16" s="28"/>
      <c r="H16" s="28"/>
      <c r="I16" s="28"/>
      <c r="J16" s="44"/>
      <c r="K16" s="44"/>
      <c r="L16" s="44"/>
      <c r="M16" s="44"/>
      <c r="N16" s="90"/>
      <c r="O16" s="90"/>
      <c r="P16" s="28">
        <f t="shared" si="1"/>
        <v>0</v>
      </c>
      <c r="Q16" s="28"/>
      <c r="R16" s="28"/>
      <c r="S16" s="88"/>
    </row>
    <row r="17" spans="1:23" ht="15.95" customHeight="1" x14ac:dyDescent="0.25">
      <c r="A17" s="25" t="s">
        <v>232</v>
      </c>
      <c r="B17" s="25" t="s">
        <v>229</v>
      </c>
      <c r="C17" s="78"/>
      <c r="D17" s="28"/>
      <c r="E17" s="28"/>
      <c r="F17" s="28"/>
      <c r="G17" s="28"/>
      <c r="H17" s="28"/>
      <c r="I17" s="28"/>
      <c r="J17" s="44"/>
      <c r="K17" s="44"/>
      <c r="L17" s="44"/>
      <c r="M17" s="44"/>
      <c r="N17" s="90"/>
      <c r="O17" s="90"/>
      <c r="P17" s="28">
        <f t="shared" si="1"/>
        <v>0</v>
      </c>
      <c r="Q17" s="28"/>
      <c r="R17" s="28"/>
      <c r="S17" s="88"/>
    </row>
    <row r="18" spans="1:23" ht="15.95" customHeight="1" x14ac:dyDescent="0.25">
      <c r="A18" s="29" t="s">
        <v>20</v>
      </c>
      <c r="B18" s="29" t="s">
        <v>21</v>
      </c>
      <c r="C18" s="28">
        <v>3669949.52</v>
      </c>
      <c r="D18" s="28"/>
      <c r="E18" s="28"/>
      <c r="F18" s="28"/>
      <c r="G18" s="28"/>
      <c r="H18" s="28">
        <v>298147.03000000003</v>
      </c>
      <c r="I18" s="28"/>
      <c r="J18" s="44"/>
      <c r="K18" s="44"/>
      <c r="L18" s="44">
        <v>-30000</v>
      </c>
      <c r="M18" s="44"/>
      <c r="N18" s="90"/>
      <c r="O18" s="90"/>
      <c r="P18" s="28">
        <f t="shared" si="1"/>
        <v>3938096.55</v>
      </c>
      <c r="Q18" s="28">
        <f>+'[1]ING SEPTIEMBRE 2024'!$Q$23</f>
        <v>2974386.07</v>
      </c>
      <c r="R18" s="28">
        <f t="shared" si="0"/>
        <v>963710.48</v>
      </c>
      <c r="S18" s="88">
        <f>Q18/$Q$26</f>
        <v>0.46131032629328256</v>
      </c>
    </row>
    <row r="19" spans="1:23" ht="15.95" hidden="1" customHeight="1" x14ac:dyDescent="0.25">
      <c r="A19" s="29" t="s">
        <v>22</v>
      </c>
      <c r="B19" s="29" t="s">
        <v>30</v>
      </c>
      <c r="C19" s="28">
        <v>0</v>
      </c>
      <c r="D19" s="28"/>
      <c r="E19" s="28"/>
      <c r="F19" s="28"/>
      <c r="G19" s="28"/>
      <c r="H19" s="28"/>
      <c r="I19" s="28"/>
      <c r="J19" s="44"/>
      <c r="K19" s="44"/>
      <c r="L19" s="44"/>
      <c r="M19" s="44"/>
      <c r="N19" s="90"/>
      <c r="O19" s="90"/>
      <c r="P19" s="28">
        <f t="shared" si="1"/>
        <v>0</v>
      </c>
      <c r="Q19" s="28"/>
      <c r="R19" s="28">
        <f t="shared" si="0"/>
        <v>0</v>
      </c>
      <c r="S19" s="88">
        <f>Q19/$Q$26</f>
        <v>0</v>
      </c>
    </row>
    <row r="20" spans="1:23" ht="15.95" customHeight="1" x14ac:dyDescent="0.25">
      <c r="A20" s="29" t="s">
        <v>23</v>
      </c>
      <c r="B20" s="29" t="s">
        <v>24</v>
      </c>
      <c r="C20" s="28">
        <v>1904175.88</v>
      </c>
      <c r="D20" s="28"/>
      <c r="E20" s="28"/>
      <c r="F20" s="28"/>
      <c r="G20" s="28"/>
      <c r="H20" s="28">
        <v>2357349.6800000002</v>
      </c>
      <c r="I20" s="28"/>
      <c r="J20" s="44"/>
      <c r="K20" s="44"/>
      <c r="L20" s="44"/>
      <c r="M20" s="44"/>
      <c r="N20" s="91"/>
      <c r="O20" s="90"/>
      <c r="P20" s="28">
        <f t="shared" si="1"/>
        <v>4261525.5600000005</v>
      </c>
      <c r="Q20" s="28">
        <f>+'[1]ING SEPTIEMBRE 2024'!$Q$25</f>
        <v>3382066.23</v>
      </c>
      <c r="R20" s="28">
        <f t="shared" si="0"/>
        <v>879459.33000000054</v>
      </c>
      <c r="S20" s="88">
        <f>Q20/$Q$26</f>
        <v>0.52453919544707661</v>
      </c>
    </row>
    <row r="21" spans="1:23" ht="15.95" customHeight="1" x14ac:dyDescent="0.25">
      <c r="A21" s="29" t="s">
        <v>25</v>
      </c>
      <c r="B21" s="29" t="s">
        <v>281</v>
      </c>
      <c r="C21" s="28">
        <v>20000</v>
      </c>
      <c r="D21" s="28"/>
      <c r="E21" s="28"/>
      <c r="F21" s="28"/>
      <c r="G21" s="28"/>
      <c r="H21" s="28"/>
      <c r="I21" s="28"/>
      <c r="J21" s="44"/>
      <c r="K21" s="44"/>
      <c r="L21" s="44"/>
      <c r="M21" s="44"/>
      <c r="N21" s="90"/>
      <c r="O21" s="90"/>
      <c r="P21" s="28">
        <f t="shared" si="1"/>
        <v>20000</v>
      </c>
      <c r="Q21" s="28"/>
      <c r="R21" s="28">
        <f t="shared" si="0"/>
        <v>20000</v>
      </c>
      <c r="S21" s="88">
        <f>Q21/$Q$26</f>
        <v>0</v>
      </c>
    </row>
    <row r="22" spans="1:23" ht="15.95" customHeight="1" x14ac:dyDescent="0.25">
      <c r="A22" s="30" t="s">
        <v>29</v>
      </c>
      <c r="B22" s="30" t="s">
        <v>31</v>
      </c>
      <c r="C22" s="31">
        <v>50000</v>
      </c>
      <c r="D22" s="31"/>
      <c r="E22" s="31"/>
      <c r="F22" s="31"/>
      <c r="G22" s="31"/>
      <c r="H22" s="31"/>
      <c r="I22" s="31"/>
      <c r="J22" s="63"/>
      <c r="K22" s="63"/>
      <c r="L22" s="63"/>
      <c r="M22" s="63"/>
      <c r="N22" s="91"/>
      <c r="O22" s="91"/>
      <c r="P22" s="28">
        <f t="shared" si="1"/>
        <v>50000</v>
      </c>
      <c r="Q22" s="28"/>
      <c r="R22" s="28">
        <f t="shared" si="0"/>
        <v>50000</v>
      </c>
      <c r="S22" s="88">
        <f>Q22/$Q$26</f>
        <v>0</v>
      </c>
    </row>
    <row r="23" spans="1:23" ht="15.95" customHeight="1" x14ac:dyDescent="0.25">
      <c r="A23" s="25"/>
      <c r="B23" s="25" t="s">
        <v>186</v>
      </c>
      <c r="C23" s="26"/>
      <c r="D23" s="28"/>
      <c r="E23" s="28"/>
      <c r="F23" s="28"/>
      <c r="G23" s="28"/>
      <c r="H23" s="28"/>
      <c r="I23" s="28"/>
      <c r="J23" s="44"/>
      <c r="K23" s="44"/>
      <c r="L23" s="44"/>
      <c r="M23" s="44"/>
      <c r="N23" s="90"/>
      <c r="O23" s="90"/>
      <c r="P23" s="28">
        <f t="shared" si="1"/>
        <v>0</v>
      </c>
      <c r="Q23" s="28"/>
      <c r="R23" s="26"/>
      <c r="S23" s="88"/>
    </row>
    <row r="24" spans="1:23" ht="15.95" customHeight="1" x14ac:dyDescent="0.25">
      <c r="A24" s="29" t="s">
        <v>189</v>
      </c>
      <c r="B24" s="29" t="s">
        <v>190</v>
      </c>
      <c r="C24" s="28">
        <v>260547.84</v>
      </c>
      <c r="D24" s="28"/>
      <c r="E24" s="28"/>
      <c r="F24" s="28"/>
      <c r="G24" s="28"/>
      <c r="H24" s="28"/>
      <c r="I24" s="28"/>
      <c r="J24" s="44"/>
      <c r="K24" s="44"/>
      <c r="L24" s="44"/>
      <c r="M24" s="44"/>
      <c r="N24" s="90"/>
      <c r="O24" s="90"/>
      <c r="P24" s="28">
        <f t="shared" si="1"/>
        <v>260547.84</v>
      </c>
      <c r="Q24" s="28"/>
      <c r="R24" s="28">
        <f>P24-Q24</f>
        <v>260547.84</v>
      </c>
      <c r="S24" s="88">
        <f>Q24/$Q$26</f>
        <v>0</v>
      </c>
    </row>
    <row r="25" spans="1:23" ht="15.95" customHeight="1" thickBot="1" x14ac:dyDescent="0.3">
      <c r="A25" s="29" t="s">
        <v>188</v>
      </c>
      <c r="B25" s="29" t="s">
        <v>187</v>
      </c>
      <c r="C25" s="28">
        <f>2534598.22-260547.84</f>
        <v>2274050.3800000004</v>
      </c>
      <c r="D25" s="28"/>
      <c r="E25" s="28"/>
      <c r="F25" s="28"/>
      <c r="G25" s="28"/>
      <c r="H25" s="28"/>
      <c r="I25" s="28"/>
      <c r="J25" s="44"/>
      <c r="K25" s="44"/>
      <c r="L25" s="44"/>
      <c r="M25" s="44"/>
      <c r="N25" s="90"/>
      <c r="O25" s="90"/>
      <c r="P25" s="28">
        <f t="shared" si="1"/>
        <v>2274050.3800000004</v>
      </c>
      <c r="Q25" s="28"/>
      <c r="R25" s="28">
        <f>P25-Q25</f>
        <v>2274050.3800000004</v>
      </c>
      <c r="S25" s="88">
        <f>Q25/$Q$26</f>
        <v>0</v>
      </c>
    </row>
    <row r="26" spans="1:23" ht="18" customHeight="1" thickBot="1" x14ac:dyDescent="0.3">
      <c r="A26" s="32"/>
      <c r="B26" s="33" t="s">
        <v>32</v>
      </c>
      <c r="C26" s="34">
        <f t="shared" ref="C26:P26" si="2">SUM(C9:C25)</f>
        <v>8258523.620000001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 t="shared" si="2"/>
        <v>2655496.71</v>
      </c>
      <c r="I26" s="34">
        <f t="shared" si="2"/>
        <v>0</v>
      </c>
      <c r="J26" s="34">
        <f t="shared" si="2"/>
        <v>0</v>
      </c>
      <c r="K26" s="34">
        <f t="shared" si="2"/>
        <v>0</v>
      </c>
      <c r="L26" s="34">
        <f t="shared" ref="L26" si="3">SUM(L9:L25)</f>
        <v>0</v>
      </c>
      <c r="M26" s="34">
        <f t="shared" ref="M26" si="4">SUM(M9:M25)</f>
        <v>0</v>
      </c>
      <c r="N26" s="92"/>
      <c r="O26" s="92"/>
      <c r="P26" s="34">
        <f t="shared" si="2"/>
        <v>10914020.330000002</v>
      </c>
      <c r="Q26" s="34">
        <f>SUM(Q10:Q25)</f>
        <v>6447690.1999999993</v>
      </c>
      <c r="R26" s="34">
        <f>SUM(R9:R25)</f>
        <v>4466330.1300000008</v>
      </c>
      <c r="S26" s="27"/>
    </row>
    <row r="27" spans="1:23" ht="15.95" customHeight="1" x14ac:dyDescent="0.2">
      <c r="A27" s="35"/>
      <c r="B27" s="35"/>
      <c r="C27" s="36"/>
      <c r="D27" s="36"/>
      <c r="E27" s="36"/>
      <c r="F27" s="36"/>
      <c r="G27" s="36"/>
      <c r="H27" s="36"/>
      <c r="I27" s="36"/>
      <c r="J27" s="62"/>
      <c r="K27" s="62"/>
      <c r="L27" s="62"/>
      <c r="M27" s="62"/>
      <c r="N27" s="89"/>
      <c r="O27" s="89"/>
      <c r="P27" s="36"/>
      <c r="Q27" s="36"/>
      <c r="R27" s="36"/>
      <c r="S27" s="37"/>
      <c r="W27" s="14"/>
    </row>
    <row r="28" spans="1:23" ht="15.95" customHeight="1" x14ac:dyDescent="0.25">
      <c r="A28" s="25" t="s">
        <v>33</v>
      </c>
      <c r="B28" s="25" t="s">
        <v>34</v>
      </c>
      <c r="C28" s="26"/>
      <c r="D28" s="28"/>
      <c r="E28" s="28"/>
      <c r="F28" s="28"/>
      <c r="G28" s="28"/>
      <c r="H28" s="28"/>
      <c r="I28" s="28"/>
      <c r="J28" s="44"/>
      <c r="K28" s="44"/>
      <c r="L28" s="44"/>
      <c r="M28" s="44"/>
      <c r="N28" s="90"/>
      <c r="O28" s="90"/>
      <c r="P28" s="28"/>
      <c r="Q28" s="28"/>
      <c r="R28" s="28"/>
      <c r="S28" s="38"/>
    </row>
    <row r="29" spans="1:23" ht="15.95" customHeight="1" x14ac:dyDescent="0.25">
      <c r="A29" s="25"/>
      <c r="B29" s="25"/>
      <c r="C29" s="26"/>
      <c r="D29" s="28"/>
      <c r="E29" s="28"/>
      <c r="F29" s="28"/>
      <c r="G29" s="28"/>
      <c r="H29" s="28"/>
      <c r="I29" s="28"/>
      <c r="J29" s="44"/>
      <c r="K29" s="44"/>
      <c r="L29" s="44"/>
      <c r="M29" s="44"/>
      <c r="N29" s="90"/>
      <c r="O29" s="90"/>
      <c r="P29" s="28"/>
      <c r="Q29" s="28"/>
      <c r="R29" s="28"/>
      <c r="S29" s="38"/>
    </row>
    <row r="30" spans="1:23" ht="15.95" customHeight="1" x14ac:dyDescent="0.25">
      <c r="A30" s="39">
        <v>0</v>
      </c>
      <c r="B30" s="40" t="s">
        <v>35</v>
      </c>
      <c r="C30" s="26"/>
      <c r="D30" s="28"/>
      <c r="E30" s="28"/>
      <c r="F30" s="44"/>
      <c r="G30" s="44"/>
      <c r="H30" s="28"/>
      <c r="I30" s="28"/>
      <c r="J30" s="44"/>
      <c r="K30" s="44"/>
      <c r="L30" s="44"/>
      <c r="M30" s="44"/>
      <c r="N30" s="90"/>
      <c r="O30" s="90"/>
      <c r="P30" s="28"/>
      <c r="Q30" s="28"/>
      <c r="R30" s="28"/>
      <c r="S30" s="38"/>
    </row>
    <row r="31" spans="1:23" ht="15.95" customHeight="1" x14ac:dyDescent="0.25">
      <c r="A31" s="94" t="s">
        <v>36</v>
      </c>
      <c r="B31" s="29" t="s">
        <v>152</v>
      </c>
      <c r="C31" s="28">
        <v>814572.04</v>
      </c>
      <c r="D31" s="28"/>
      <c r="E31" s="28"/>
      <c r="F31" s="44">
        <v>6000</v>
      </c>
      <c r="G31" s="44"/>
      <c r="H31" s="28">
        <v>25629.41</v>
      </c>
      <c r="I31" s="28"/>
      <c r="J31" s="44"/>
      <c r="K31" s="44"/>
      <c r="L31" s="44"/>
      <c r="M31" s="44"/>
      <c r="N31" s="90"/>
      <c r="O31" s="90"/>
      <c r="P31" s="28">
        <f t="shared" ref="P31:P62" si="5">+C31+D31-E31+F31-G31+H31-I31+J31-K31+L31-M31+N31-O31</f>
        <v>846201.45000000007</v>
      </c>
      <c r="Q31" s="28">
        <f>+'[1]EGR SEPTIEMBRE 2024'!$Q$7</f>
        <v>603898.27999999991</v>
      </c>
      <c r="R31" s="28">
        <f t="shared" ref="R31:R100" si="6">P31-Q31</f>
        <v>242303.17000000016</v>
      </c>
      <c r="S31" s="88">
        <f>Q31/$Q$144</f>
        <v>0.10054333345936665</v>
      </c>
    </row>
    <row r="32" spans="1:23" ht="15.95" customHeight="1" x14ac:dyDescent="0.25">
      <c r="A32" s="41" t="s">
        <v>37</v>
      </c>
      <c r="B32" s="29" t="s">
        <v>153</v>
      </c>
      <c r="C32" s="28">
        <v>13700</v>
      </c>
      <c r="D32" s="28"/>
      <c r="E32" s="28"/>
      <c r="F32" s="44"/>
      <c r="G32" s="44"/>
      <c r="H32" s="28"/>
      <c r="I32" s="28"/>
      <c r="J32" s="44"/>
      <c r="K32" s="44"/>
      <c r="L32" s="44"/>
      <c r="M32" s="44"/>
      <c r="N32" s="90"/>
      <c r="O32" s="90"/>
      <c r="P32" s="28">
        <f t="shared" si="5"/>
        <v>13700</v>
      </c>
      <c r="Q32" s="28">
        <f>+'[1]EGR SEPTIEMBRE 2024'!$Q$8</f>
        <v>6562.5</v>
      </c>
      <c r="R32" s="28">
        <f t="shared" si="6"/>
        <v>7137.5</v>
      </c>
      <c r="S32" s="88">
        <f>Q32/$Q$144</f>
        <v>1.0925939809384683E-3</v>
      </c>
    </row>
    <row r="33" spans="1:19" ht="15.95" customHeight="1" x14ac:dyDescent="0.25">
      <c r="A33" s="94" t="s">
        <v>38</v>
      </c>
      <c r="B33" s="29" t="s">
        <v>154</v>
      </c>
      <c r="C33" s="28">
        <v>311100</v>
      </c>
      <c r="D33" s="28"/>
      <c r="E33" s="28"/>
      <c r="F33" s="44"/>
      <c r="G33" s="44"/>
      <c r="H33" s="28"/>
      <c r="I33" s="28"/>
      <c r="J33" s="44"/>
      <c r="K33" s="44"/>
      <c r="L33" s="44"/>
      <c r="M33" s="44"/>
      <c r="N33" s="97"/>
      <c r="O33" s="90"/>
      <c r="P33" s="28">
        <f t="shared" si="5"/>
        <v>311100</v>
      </c>
      <c r="Q33" s="28">
        <f>+'[1]EGR SEPTIEMBRE 2024'!$Q$9</f>
        <v>188808.37000000002</v>
      </c>
      <c r="R33" s="28">
        <f t="shared" si="6"/>
        <v>122291.62999999998</v>
      </c>
      <c r="S33" s="88">
        <f>Q33/$Q$144</f>
        <v>3.1434802074331927E-2</v>
      </c>
    </row>
    <row r="34" spans="1:19" ht="15.95" customHeight="1" x14ac:dyDescent="0.25">
      <c r="A34" s="41" t="s">
        <v>250</v>
      </c>
      <c r="B34" s="29" t="s">
        <v>280</v>
      </c>
      <c r="C34" s="28"/>
      <c r="D34" s="28"/>
      <c r="E34" s="28"/>
      <c r="F34" s="44"/>
      <c r="G34" s="44"/>
      <c r="H34" s="28"/>
      <c r="I34" s="28"/>
      <c r="J34" s="44"/>
      <c r="K34" s="44"/>
      <c r="L34" s="44"/>
      <c r="M34" s="44"/>
      <c r="N34" s="90"/>
      <c r="O34" s="90"/>
      <c r="P34" s="28">
        <f t="shared" si="5"/>
        <v>0</v>
      </c>
      <c r="Q34" s="28"/>
      <c r="R34" s="28">
        <f t="shared" si="6"/>
        <v>0</v>
      </c>
      <c r="S34" s="88"/>
    </row>
    <row r="35" spans="1:19" ht="15.95" customHeight="1" x14ac:dyDescent="0.25">
      <c r="A35" s="41" t="s">
        <v>243</v>
      </c>
      <c r="B35" s="29" t="s">
        <v>244</v>
      </c>
      <c r="C35" s="28">
        <v>154000</v>
      </c>
      <c r="D35" s="28"/>
      <c r="E35" s="28"/>
      <c r="F35" s="44"/>
      <c r="G35" s="44">
        <v>138600</v>
      </c>
      <c r="H35" s="28"/>
      <c r="I35" s="28"/>
      <c r="J35" s="44"/>
      <c r="K35" s="44"/>
      <c r="L35" s="44"/>
      <c r="M35" s="44"/>
      <c r="N35" s="90"/>
      <c r="O35" s="90"/>
      <c r="P35" s="28">
        <f t="shared" si="5"/>
        <v>15400</v>
      </c>
      <c r="Q35" s="28"/>
      <c r="R35" s="28">
        <f t="shared" si="6"/>
        <v>15400</v>
      </c>
      <c r="S35" s="88">
        <f t="shared" ref="S35:S42" si="7">Q35/$Q$144</f>
        <v>0</v>
      </c>
    </row>
    <row r="36" spans="1:19" ht="15.95" customHeight="1" x14ac:dyDescent="0.25">
      <c r="A36" s="41" t="s">
        <v>39</v>
      </c>
      <c r="B36" s="29" t="s">
        <v>40</v>
      </c>
      <c r="C36" s="28">
        <v>17500</v>
      </c>
      <c r="D36" s="28"/>
      <c r="E36" s="28"/>
      <c r="F36" s="44"/>
      <c r="G36" s="44"/>
      <c r="H36" s="28"/>
      <c r="I36" s="28"/>
      <c r="J36" s="44">
        <v>15000</v>
      </c>
      <c r="K36" s="44"/>
      <c r="L36" s="44"/>
      <c r="M36" s="44"/>
      <c r="N36" s="90"/>
      <c r="O36" s="90"/>
      <c r="P36" s="28">
        <f t="shared" si="5"/>
        <v>32500</v>
      </c>
      <c r="Q36" s="28">
        <f>+'[1]EGR SEPTIEMBRE 2024'!$Q$12</f>
        <v>18000</v>
      </c>
      <c r="R36" s="28">
        <f t="shared" si="6"/>
        <v>14500</v>
      </c>
      <c r="S36" s="88">
        <f t="shared" si="7"/>
        <v>2.9968292048597987E-3</v>
      </c>
    </row>
    <row r="37" spans="1:19" ht="15.95" customHeight="1" x14ac:dyDescent="0.25">
      <c r="A37" s="41" t="s">
        <v>41</v>
      </c>
      <c r="B37" s="29" t="s">
        <v>155</v>
      </c>
      <c r="C37" s="28">
        <v>34510.800000000003</v>
      </c>
      <c r="D37" s="28"/>
      <c r="E37" s="28"/>
      <c r="F37" s="44"/>
      <c r="G37" s="44"/>
      <c r="H37" s="28"/>
      <c r="I37" s="28"/>
      <c r="J37" s="44"/>
      <c r="K37" s="44"/>
      <c r="L37" s="44"/>
      <c r="M37" s="44"/>
      <c r="N37" s="90"/>
      <c r="O37" s="90"/>
      <c r="P37" s="28">
        <f t="shared" si="5"/>
        <v>34510.800000000003</v>
      </c>
      <c r="Q37" s="28">
        <f>+'[1]EGR SEPTIEMBRE 2024'!$Q$13</f>
        <v>11223.85</v>
      </c>
      <c r="R37" s="28">
        <f t="shared" si="6"/>
        <v>23286.950000000004</v>
      </c>
      <c r="S37" s="88">
        <f t="shared" si="7"/>
        <v>1.8686645261647584E-3</v>
      </c>
    </row>
    <row r="38" spans="1:19" ht="15.95" customHeight="1" x14ac:dyDescent="0.25">
      <c r="A38" s="41" t="s">
        <v>42</v>
      </c>
      <c r="B38" s="29" t="s">
        <v>156</v>
      </c>
      <c r="C38" s="28">
        <v>87401.15</v>
      </c>
      <c r="D38" s="28"/>
      <c r="E38" s="28"/>
      <c r="F38" s="44">
        <v>25000</v>
      </c>
      <c r="G38" s="44"/>
      <c r="H38" s="28">
        <v>3000</v>
      </c>
      <c r="I38" s="28"/>
      <c r="J38" s="44"/>
      <c r="K38" s="44"/>
      <c r="L38" s="44"/>
      <c r="M38" s="44"/>
      <c r="N38" s="90"/>
      <c r="O38" s="90"/>
      <c r="P38" s="28">
        <f t="shared" si="5"/>
        <v>115401.15</v>
      </c>
      <c r="Q38" s="28">
        <f>+'[1]EGR SEPTIEMBRE 2024'!$Q$14</f>
        <v>65649.73000000001</v>
      </c>
      <c r="R38" s="28">
        <f t="shared" si="6"/>
        <v>49751.419999999984</v>
      </c>
      <c r="S38" s="88">
        <f t="shared" si="7"/>
        <v>1.0930057119731138E-2</v>
      </c>
    </row>
    <row r="39" spans="1:19" ht="15.95" customHeight="1" x14ac:dyDescent="0.25">
      <c r="A39" s="41" t="s">
        <v>43</v>
      </c>
      <c r="B39" s="29" t="s">
        <v>157</v>
      </c>
      <c r="C39" s="28">
        <v>8190.84</v>
      </c>
      <c r="D39" s="28"/>
      <c r="E39" s="28"/>
      <c r="F39" s="44">
        <v>7000</v>
      </c>
      <c r="G39" s="44"/>
      <c r="H39" s="28"/>
      <c r="I39" s="28"/>
      <c r="J39" s="44"/>
      <c r="K39" s="44"/>
      <c r="L39" s="44"/>
      <c r="M39" s="44"/>
      <c r="N39" s="90"/>
      <c r="O39" s="90"/>
      <c r="P39" s="28">
        <f t="shared" si="5"/>
        <v>15190.84</v>
      </c>
      <c r="Q39" s="28">
        <f>+'[1]EGR SEPTIEMBRE 2024'!$Q$15</f>
        <v>6151.22</v>
      </c>
      <c r="R39" s="28">
        <f t="shared" si="6"/>
        <v>9039.619999999999</v>
      </c>
      <c r="S39" s="88">
        <f t="shared" si="7"/>
        <v>1.0241197634176496E-3</v>
      </c>
    </row>
    <row r="40" spans="1:19" ht="15.95" customHeight="1" x14ac:dyDescent="0.25">
      <c r="A40" s="41" t="s">
        <v>44</v>
      </c>
      <c r="B40" s="29" t="s">
        <v>45</v>
      </c>
      <c r="C40" s="28">
        <v>67581.009999999995</v>
      </c>
      <c r="D40" s="28"/>
      <c r="E40" s="28"/>
      <c r="F40" s="44">
        <v>5000</v>
      </c>
      <c r="G40" s="44"/>
      <c r="H40" s="28">
        <v>3000</v>
      </c>
      <c r="I40" s="28"/>
      <c r="J40" s="44"/>
      <c r="K40" s="44"/>
      <c r="L40" s="44"/>
      <c r="M40" s="44"/>
      <c r="N40" s="90"/>
      <c r="O40" s="90"/>
      <c r="P40" s="28">
        <f t="shared" si="5"/>
        <v>75581.009999999995</v>
      </c>
      <c r="Q40" s="28">
        <f>+'[1]EGR SEPTIEMBRE 2024'!$Q$16</f>
        <v>6376.03</v>
      </c>
      <c r="R40" s="28">
        <f t="shared" si="6"/>
        <v>69204.98</v>
      </c>
      <c r="S40" s="88">
        <f t="shared" si="7"/>
        <v>1.0615484952812345E-3</v>
      </c>
    </row>
    <row r="41" spans="1:19" ht="15.95" customHeight="1" x14ac:dyDescent="0.25">
      <c r="A41" s="41" t="s">
        <v>46</v>
      </c>
      <c r="B41" s="29" t="s">
        <v>158</v>
      </c>
      <c r="C41" s="28">
        <v>67581.009999999995</v>
      </c>
      <c r="D41" s="28"/>
      <c r="E41" s="28"/>
      <c r="F41" s="44">
        <v>5000</v>
      </c>
      <c r="G41" s="44"/>
      <c r="H41" s="28">
        <v>3000</v>
      </c>
      <c r="I41" s="28"/>
      <c r="J41" s="44"/>
      <c r="K41" s="44"/>
      <c r="L41" s="44"/>
      <c r="M41" s="44"/>
      <c r="N41" s="90"/>
      <c r="O41" s="90"/>
      <c r="P41" s="28">
        <f t="shared" si="5"/>
        <v>75581.009999999995</v>
      </c>
      <c r="Q41" s="28">
        <f>+'[1]EGR SEPTIEMBRE 2024'!$Q$17</f>
        <v>64403.34</v>
      </c>
      <c r="R41" s="28">
        <f t="shared" si="6"/>
        <v>11177.669999999998</v>
      </c>
      <c r="S41" s="88">
        <f t="shared" si="7"/>
        <v>1.0722545011250847E-2</v>
      </c>
    </row>
    <row r="42" spans="1:19" ht="15.95" customHeight="1" x14ac:dyDescent="0.25">
      <c r="A42" s="94" t="s">
        <v>47</v>
      </c>
      <c r="B42" s="29" t="s">
        <v>48</v>
      </c>
      <c r="C42" s="28">
        <v>4400</v>
      </c>
      <c r="D42" s="28"/>
      <c r="E42" s="28"/>
      <c r="F42" s="44">
        <v>600</v>
      </c>
      <c r="G42" s="44"/>
      <c r="H42" s="28"/>
      <c r="I42" s="28"/>
      <c r="J42" s="44"/>
      <c r="K42" s="44"/>
      <c r="L42" s="44"/>
      <c r="M42" s="44"/>
      <c r="N42" s="97"/>
      <c r="O42" s="90"/>
      <c r="P42" s="28">
        <f t="shared" si="5"/>
        <v>5000</v>
      </c>
      <c r="Q42" s="28">
        <f>+'[1]EGR SEPTIEMBRE 2024'!$Q$18</f>
        <v>370.41</v>
      </c>
      <c r="R42" s="28">
        <f t="shared" si="6"/>
        <v>4629.59</v>
      </c>
      <c r="S42" s="88">
        <f t="shared" si="7"/>
        <v>6.1669750320673223E-5</v>
      </c>
    </row>
    <row r="43" spans="1:19" ht="15.95" customHeight="1" x14ac:dyDescent="0.2">
      <c r="A43" s="41"/>
      <c r="B43" s="29"/>
      <c r="C43" s="28"/>
      <c r="D43" s="28"/>
      <c r="E43" s="28"/>
      <c r="F43" s="44"/>
      <c r="G43" s="44"/>
      <c r="H43" s="28"/>
      <c r="I43" s="28"/>
      <c r="J43" s="44"/>
      <c r="K43" s="44"/>
      <c r="L43" s="44"/>
      <c r="M43" s="44"/>
      <c r="N43" s="90"/>
      <c r="O43" s="90"/>
      <c r="P43" s="28">
        <f t="shared" si="5"/>
        <v>0</v>
      </c>
      <c r="Q43" s="28"/>
      <c r="R43" s="28"/>
      <c r="S43" s="38"/>
    </row>
    <row r="44" spans="1:19" ht="15.95" customHeight="1" x14ac:dyDescent="0.25">
      <c r="A44" s="39">
        <v>1</v>
      </c>
      <c r="B44" s="40" t="s">
        <v>49</v>
      </c>
      <c r="C44" s="26"/>
      <c r="D44" s="28"/>
      <c r="E44" s="28"/>
      <c r="F44" s="44"/>
      <c r="G44" s="44"/>
      <c r="H44" s="28"/>
      <c r="I44" s="28"/>
      <c r="J44" s="44"/>
      <c r="K44" s="44"/>
      <c r="L44" s="44"/>
      <c r="M44" s="44"/>
      <c r="N44" s="90"/>
      <c r="O44" s="90"/>
      <c r="P44" s="28">
        <f t="shared" si="5"/>
        <v>0</v>
      </c>
      <c r="Q44" s="28"/>
      <c r="R44" s="28"/>
      <c r="S44" s="38"/>
    </row>
    <row r="45" spans="1:19" ht="15.95" customHeight="1" x14ac:dyDescent="0.25">
      <c r="A45" s="41" t="s">
        <v>91</v>
      </c>
      <c r="B45" s="29" t="s">
        <v>50</v>
      </c>
      <c r="C45" s="28">
        <v>13750</v>
      </c>
      <c r="D45" s="28"/>
      <c r="E45" s="28"/>
      <c r="F45" s="44"/>
      <c r="G45" s="44"/>
      <c r="H45" s="28"/>
      <c r="I45" s="28"/>
      <c r="J45" s="44"/>
      <c r="K45" s="44"/>
      <c r="L45" s="44"/>
      <c r="M45" s="44"/>
      <c r="N45" s="90"/>
      <c r="O45" s="90"/>
      <c r="P45" s="28">
        <f t="shared" si="5"/>
        <v>13750</v>
      </c>
      <c r="Q45" s="28">
        <f>+'[1]EGR SEPTIEMBRE 2024'!$Q$19</f>
        <v>9644.83</v>
      </c>
      <c r="R45" s="28">
        <f t="shared" si="6"/>
        <v>4105.17</v>
      </c>
      <c r="S45" s="88">
        <f t="shared" ref="S45:S62" si="8">Q45/$Q$144</f>
        <v>1.605772678883774E-3</v>
      </c>
    </row>
    <row r="46" spans="1:19" ht="15.95" customHeight="1" x14ac:dyDescent="0.25">
      <c r="A46" s="41" t="s">
        <v>92</v>
      </c>
      <c r="B46" s="29" t="s">
        <v>51</v>
      </c>
      <c r="C46" s="28">
        <v>26100</v>
      </c>
      <c r="D46" s="28"/>
      <c r="E46" s="28"/>
      <c r="F46" s="44"/>
      <c r="G46" s="44"/>
      <c r="H46" s="28"/>
      <c r="I46" s="28"/>
      <c r="J46" s="44"/>
      <c r="K46" s="44"/>
      <c r="L46" s="44"/>
      <c r="M46" s="44"/>
      <c r="N46" s="90"/>
      <c r="O46" s="90"/>
      <c r="P46" s="28">
        <f t="shared" si="5"/>
        <v>26100</v>
      </c>
      <c r="Q46" s="28">
        <f>+'[1]EGR SEPTIEMBRE 2024'!$Q$20</f>
        <v>12554.190000000002</v>
      </c>
      <c r="R46" s="28">
        <f t="shared" si="6"/>
        <v>13545.809999999998</v>
      </c>
      <c r="S46" s="88">
        <f t="shared" si="8"/>
        <v>2.0901535130754914E-3</v>
      </c>
    </row>
    <row r="47" spans="1:19" ht="15.95" customHeight="1" x14ac:dyDescent="0.25">
      <c r="A47" s="41" t="s">
        <v>93</v>
      </c>
      <c r="B47" s="29" t="s">
        <v>52</v>
      </c>
      <c r="C47" s="28">
        <v>2000</v>
      </c>
      <c r="D47" s="28"/>
      <c r="E47" s="28"/>
      <c r="F47" s="44"/>
      <c r="G47" s="44"/>
      <c r="H47" s="28"/>
      <c r="I47" s="28"/>
      <c r="J47" s="44"/>
      <c r="K47" s="44"/>
      <c r="L47" s="44"/>
      <c r="M47" s="44"/>
      <c r="N47" s="90"/>
      <c r="O47" s="90"/>
      <c r="P47" s="28">
        <f t="shared" si="5"/>
        <v>2000</v>
      </c>
      <c r="Q47" s="28">
        <f>+'[1]EGR SEPTIEMBRE 2024'!$Q$21</f>
        <v>1508.32</v>
      </c>
      <c r="R47" s="28">
        <f t="shared" si="6"/>
        <v>491.68000000000006</v>
      </c>
      <c r="S47" s="88">
        <f t="shared" si="8"/>
        <v>2.5112096812634062E-4</v>
      </c>
    </row>
    <row r="48" spans="1:19" ht="15.95" customHeight="1" x14ac:dyDescent="0.25">
      <c r="A48" s="41" t="s">
        <v>94</v>
      </c>
      <c r="B48" s="29" t="s">
        <v>159</v>
      </c>
      <c r="C48" s="28">
        <v>8000</v>
      </c>
      <c r="D48" s="28"/>
      <c r="E48" s="28"/>
      <c r="F48" s="44"/>
      <c r="G48" s="44"/>
      <c r="H48" s="28"/>
      <c r="I48" s="28"/>
      <c r="J48" s="44"/>
      <c r="K48" s="44"/>
      <c r="L48" s="44"/>
      <c r="M48" s="44"/>
      <c r="N48" s="90"/>
      <c r="O48" s="90"/>
      <c r="P48" s="28">
        <f t="shared" si="5"/>
        <v>8000</v>
      </c>
      <c r="Q48" s="28">
        <f>+'[1]EGR SEPTIEMBRE 2024'!$Q$22</f>
        <v>3065</v>
      </c>
      <c r="R48" s="28">
        <f t="shared" si="6"/>
        <v>4935</v>
      </c>
      <c r="S48" s="88">
        <f t="shared" si="8"/>
        <v>5.1029341738307124E-4</v>
      </c>
    </row>
    <row r="49" spans="1:19" ht="15.95" customHeight="1" x14ac:dyDescent="0.25">
      <c r="A49" s="41" t="s">
        <v>95</v>
      </c>
      <c r="B49" s="29" t="s">
        <v>160</v>
      </c>
      <c r="C49" s="28">
        <v>14250</v>
      </c>
      <c r="D49" s="28"/>
      <c r="E49" s="28"/>
      <c r="F49" s="44"/>
      <c r="G49" s="44"/>
      <c r="H49" s="28"/>
      <c r="I49" s="28"/>
      <c r="J49" s="44"/>
      <c r="K49" s="44"/>
      <c r="L49" s="44"/>
      <c r="M49" s="44"/>
      <c r="N49" s="90"/>
      <c r="O49" s="90"/>
      <c r="P49" s="28">
        <f t="shared" si="5"/>
        <v>14250</v>
      </c>
      <c r="Q49" s="28">
        <f>+'[1]EGR SEPTIEMBRE 2024'!$Q$23</f>
        <v>8293.4499999999989</v>
      </c>
      <c r="R49" s="28">
        <f t="shared" si="6"/>
        <v>5956.5500000000011</v>
      </c>
      <c r="S49" s="88">
        <f t="shared" si="8"/>
        <v>1.3807807316135829E-3</v>
      </c>
    </row>
    <row r="50" spans="1:19" ht="15.95" customHeight="1" x14ac:dyDescent="0.25">
      <c r="A50" s="41" t="s">
        <v>96</v>
      </c>
      <c r="B50" s="29" t="s">
        <v>161</v>
      </c>
      <c r="C50" s="28">
        <v>673088.47</v>
      </c>
      <c r="D50" s="28"/>
      <c r="E50" s="28"/>
      <c r="F50" s="44">
        <v>300000</v>
      </c>
      <c r="G50" s="44"/>
      <c r="H50" s="28">
        <v>1130902.48</v>
      </c>
      <c r="I50" s="28"/>
      <c r="J50" s="44"/>
      <c r="K50" s="44"/>
      <c r="L50" s="44"/>
      <c r="M50" s="44"/>
      <c r="N50" s="90"/>
      <c r="O50" s="90"/>
      <c r="P50" s="28">
        <f t="shared" si="5"/>
        <v>2103990.9500000002</v>
      </c>
      <c r="Q50" s="28">
        <f>+'[1]EGR SEPTIEMBRE 2024'!$Q$24</f>
        <v>1604246.18</v>
      </c>
      <c r="R50" s="28">
        <f t="shared" si="6"/>
        <v>499744.77000000025</v>
      </c>
      <c r="S50" s="88">
        <f t="shared" si="8"/>
        <v>0.26709176688937608</v>
      </c>
    </row>
    <row r="51" spans="1:19" ht="15.95" customHeight="1" x14ac:dyDescent="0.25">
      <c r="A51" s="41" t="s">
        <v>97</v>
      </c>
      <c r="B51" s="29" t="s">
        <v>53</v>
      </c>
      <c r="C51" s="28">
        <v>563742.69999999995</v>
      </c>
      <c r="D51" s="28"/>
      <c r="E51" s="28"/>
      <c r="F51" s="44"/>
      <c r="G51" s="44">
        <v>300000</v>
      </c>
      <c r="H51" s="28">
        <v>293382.87</v>
      </c>
      <c r="I51" s="28"/>
      <c r="J51" s="44"/>
      <c r="K51" s="44"/>
      <c r="L51" s="44"/>
      <c r="M51" s="44">
        <v>110000</v>
      </c>
      <c r="N51" s="90"/>
      <c r="O51" s="90"/>
      <c r="P51" s="28">
        <f t="shared" si="5"/>
        <v>447125.56999999995</v>
      </c>
      <c r="Q51" s="28">
        <f>+'[1]EGR SEPTIEMBRE 2024'!$Q$25</f>
        <v>172665.09</v>
      </c>
      <c r="R51" s="28">
        <f t="shared" si="6"/>
        <v>274460.48</v>
      </c>
      <c r="S51" s="88">
        <f t="shared" si="8"/>
        <v>2.8747099131763643E-2</v>
      </c>
    </row>
    <row r="52" spans="1:19" ht="15.95" customHeight="1" x14ac:dyDescent="0.25">
      <c r="A52" s="41">
        <v>136</v>
      </c>
      <c r="B52" s="29" t="s">
        <v>274</v>
      </c>
      <c r="C52" s="28"/>
      <c r="D52" s="28"/>
      <c r="E52" s="28"/>
      <c r="F52" s="44"/>
      <c r="G52" s="44"/>
      <c r="H52" s="28"/>
      <c r="I52" s="28"/>
      <c r="J52" s="44"/>
      <c r="K52" s="44"/>
      <c r="L52" s="44">
        <v>110000</v>
      </c>
      <c r="M52" s="44"/>
      <c r="N52" s="90"/>
      <c r="O52" s="90"/>
      <c r="P52" s="28">
        <f t="shared" si="5"/>
        <v>110000</v>
      </c>
      <c r="Q52" s="28"/>
      <c r="R52" s="28">
        <f t="shared" si="6"/>
        <v>110000</v>
      </c>
      <c r="S52" s="88">
        <f t="shared" si="8"/>
        <v>0</v>
      </c>
    </row>
    <row r="53" spans="1:19" ht="15.95" customHeight="1" x14ac:dyDescent="0.25">
      <c r="A53" s="41" t="s">
        <v>98</v>
      </c>
      <c r="B53" s="29" t="s">
        <v>162</v>
      </c>
      <c r="C53" s="28">
        <v>500985.37</v>
      </c>
      <c r="D53" s="28"/>
      <c r="E53" s="28"/>
      <c r="F53" s="44"/>
      <c r="G53" s="44"/>
      <c r="H53" s="28">
        <v>833064.33</v>
      </c>
      <c r="I53" s="28"/>
      <c r="J53" s="44"/>
      <c r="K53" s="44">
        <v>15000</v>
      </c>
      <c r="L53" s="44"/>
      <c r="M53" s="44"/>
      <c r="N53" s="90"/>
      <c r="O53" s="90"/>
      <c r="P53" s="28">
        <f t="shared" si="5"/>
        <v>1319049.7</v>
      </c>
      <c r="Q53" s="28">
        <f>+'[1]EGR SEPTIEMBRE 2024'!$Q$26</f>
        <v>851251.79</v>
      </c>
      <c r="R53" s="28">
        <f t="shared" si="6"/>
        <v>467797.90999999992</v>
      </c>
      <c r="S53" s="88">
        <f t="shared" si="8"/>
        <v>0.14172534583117669</v>
      </c>
    </row>
    <row r="54" spans="1:19" ht="15.95" customHeight="1" x14ac:dyDescent="0.25">
      <c r="A54" s="41" t="s">
        <v>99</v>
      </c>
      <c r="B54" s="29" t="s">
        <v>54</v>
      </c>
      <c r="C54" s="28">
        <v>225000</v>
      </c>
      <c r="D54" s="28"/>
      <c r="E54" s="28"/>
      <c r="F54" s="44"/>
      <c r="G54" s="44"/>
      <c r="H54" s="28"/>
      <c r="I54" s="28"/>
      <c r="J54" s="44"/>
      <c r="K54" s="44"/>
      <c r="L54" s="44"/>
      <c r="M54" s="44"/>
      <c r="N54" s="90"/>
      <c r="O54" s="90"/>
      <c r="P54" s="28">
        <f t="shared" si="5"/>
        <v>225000</v>
      </c>
      <c r="Q54" s="28">
        <f>+'[1]EGR SEPTIEMBRE 2024'!$Q$27</f>
        <v>84616</v>
      </c>
      <c r="R54" s="28">
        <f t="shared" si="6"/>
        <v>140384</v>
      </c>
      <c r="S54" s="88">
        <f t="shared" si="8"/>
        <v>1.4087761111023151E-2</v>
      </c>
    </row>
    <row r="55" spans="1:19" ht="15.95" customHeight="1" x14ac:dyDescent="0.25">
      <c r="A55" s="41" t="s">
        <v>100</v>
      </c>
      <c r="B55" s="29" t="s">
        <v>55</v>
      </c>
      <c r="C55" s="28">
        <v>75000</v>
      </c>
      <c r="D55" s="28"/>
      <c r="E55" s="28"/>
      <c r="F55" s="44"/>
      <c r="G55" s="44"/>
      <c r="H55" s="28"/>
      <c r="I55" s="28"/>
      <c r="J55" s="44"/>
      <c r="K55" s="44"/>
      <c r="L55" s="44"/>
      <c r="M55" s="44"/>
      <c r="N55" s="90"/>
      <c r="O55" s="90"/>
      <c r="P55" s="28">
        <f t="shared" si="5"/>
        <v>75000</v>
      </c>
      <c r="Q55" s="28"/>
      <c r="R55" s="28">
        <f t="shared" si="6"/>
        <v>75000</v>
      </c>
      <c r="S55" s="88">
        <f t="shared" si="8"/>
        <v>0</v>
      </c>
    </row>
    <row r="56" spans="1:19" ht="15.95" customHeight="1" x14ac:dyDescent="0.25">
      <c r="A56" s="41">
        <v>151</v>
      </c>
      <c r="B56" s="29" t="s">
        <v>245</v>
      </c>
      <c r="C56" s="28">
        <v>90000</v>
      </c>
      <c r="D56" s="28"/>
      <c r="E56" s="28"/>
      <c r="F56" s="44"/>
      <c r="G56" s="44"/>
      <c r="H56" s="28"/>
      <c r="I56" s="28"/>
      <c r="J56" s="44"/>
      <c r="K56" s="44"/>
      <c r="L56" s="44"/>
      <c r="M56" s="44"/>
      <c r="N56" s="90"/>
      <c r="O56" s="90"/>
      <c r="P56" s="28">
        <f t="shared" si="5"/>
        <v>90000</v>
      </c>
      <c r="Q56" s="28"/>
      <c r="R56" s="28">
        <f t="shared" si="6"/>
        <v>90000</v>
      </c>
      <c r="S56" s="88">
        <f t="shared" si="8"/>
        <v>0</v>
      </c>
    </row>
    <row r="57" spans="1:19" ht="15.95" customHeight="1" x14ac:dyDescent="0.25">
      <c r="A57" s="41" t="s">
        <v>101</v>
      </c>
      <c r="B57" s="29" t="s">
        <v>56</v>
      </c>
      <c r="C57" s="28">
        <v>4400</v>
      </c>
      <c r="D57" s="28"/>
      <c r="E57" s="28"/>
      <c r="F57" s="44"/>
      <c r="G57" s="44"/>
      <c r="H57" s="28"/>
      <c r="I57" s="28"/>
      <c r="J57" s="44">
        <v>6000</v>
      </c>
      <c r="K57" s="44"/>
      <c r="L57" s="44"/>
      <c r="M57" s="44"/>
      <c r="N57" s="96"/>
      <c r="O57" s="96"/>
      <c r="P57" s="28">
        <f t="shared" si="5"/>
        <v>10400</v>
      </c>
      <c r="Q57" s="28">
        <f>+'[1]EGR SEPTIEMBRE 2024'!$Q$30</f>
        <v>7600</v>
      </c>
      <c r="R57" s="28">
        <f t="shared" si="6"/>
        <v>2800</v>
      </c>
      <c r="S57" s="88">
        <f t="shared" si="8"/>
        <v>1.2653278864963595E-3</v>
      </c>
    </row>
    <row r="58" spans="1:19" ht="15.95" customHeight="1" x14ac:dyDescent="0.25">
      <c r="A58" s="41" t="s">
        <v>102</v>
      </c>
      <c r="B58" s="29" t="s">
        <v>163</v>
      </c>
      <c r="C58" s="28">
        <v>3004.32</v>
      </c>
      <c r="D58" s="28"/>
      <c r="E58" s="28"/>
      <c r="F58" s="44"/>
      <c r="G58" s="44"/>
      <c r="H58" s="28"/>
      <c r="I58" s="28"/>
      <c r="J58" s="44"/>
      <c r="K58" s="44"/>
      <c r="L58" s="44"/>
      <c r="M58" s="44"/>
      <c r="N58" s="96"/>
      <c r="O58" s="96"/>
      <c r="P58" s="28">
        <f t="shared" si="5"/>
        <v>3004.32</v>
      </c>
      <c r="Q58" s="28"/>
      <c r="R58" s="28">
        <f t="shared" si="6"/>
        <v>3004.32</v>
      </c>
      <c r="S58" s="88">
        <f t="shared" si="8"/>
        <v>0</v>
      </c>
    </row>
    <row r="59" spans="1:19" ht="30.75" customHeight="1" x14ac:dyDescent="0.25">
      <c r="A59" s="41" t="s">
        <v>103</v>
      </c>
      <c r="B59" s="100" t="s">
        <v>164</v>
      </c>
      <c r="C59" s="28">
        <v>7750</v>
      </c>
      <c r="D59" s="28"/>
      <c r="E59" s="28"/>
      <c r="F59" s="44"/>
      <c r="G59" s="44"/>
      <c r="H59" s="28"/>
      <c r="I59" s="28"/>
      <c r="J59" s="44"/>
      <c r="K59" s="44"/>
      <c r="L59" s="44"/>
      <c r="M59" s="44"/>
      <c r="N59" s="96"/>
      <c r="O59" s="96"/>
      <c r="P59" s="28">
        <f t="shared" si="5"/>
        <v>7750</v>
      </c>
      <c r="Q59" s="28">
        <f>+'[1]EGR SEPTIEMBRE 2024'!$Q$32</f>
        <v>2450</v>
      </c>
      <c r="R59" s="28">
        <f t="shared" si="6"/>
        <v>5300</v>
      </c>
      <c r="S59" s="88">
        <f t="shared" si="8"/>
        <v>4.079017528836948E-4</v>
      </c>
    </row>
    <row r="60" spans="1:19" ht="15.95" customHeight="1" x14ac:dyDescent="0.25">
      <c r="A60" s="41" t="s">
        <v>104</v>
      </c>
      <c r="B60" s="29" t="s">
        <v>165</v>
      </c>
      <c r="C60" s="28">
        <v>7000</v>
      </c>
      <c r="D60" s="28"/>
      <c r="E60" s="28"/>
      <c r="F60" s="44"/>
      <c r="G60" s="44"/>
      <c r="H60" s="28"/>
      <c r="I60" s="28"/>
      <c r="J60" s="44"/>
      <c r="K60" s="44"/>
      <c r="L60" s="44"/>
      <c r="M60" s="44"/>
      <c r="N60" s="96"/>
      <c r="O60" s="96"/>
      <c r="P60" s="28">
        <f t="shared" si="5"/>
        <v>7000</v>
      </c>
      <c r="Q60" s="28">
        <f>+'[1]EGR SEPTIEMBRE 2024'!$Q$33</f>
        <v>691.53</v>
      </c>
      <c r="R60" s="28">
        <f t="shared" si="6"/>
        <v>6308.47</v>
      </c>
      <c r="S60" s="88">
        <f t="shared" si="8"/>
        <v>1.1513318333537203E-4</v>
      </c>
    </row>
    <row r="61" spans="1:19" ht="15.95" customHeight="1" x14ac:dyDescent="0.25">
      <c r="A61" s="41" t="s">
        <v>105</v>
      </c>
      <c r="B61" s="29" t="s">
        <v>166</v>
      </c>
      <c r="C61" s="28">
        <v>14000</v>
      </c>
      <c r="D61" s="28"/>
      <c r="E61" s="28"/>
      <c r="F61" s="44"/>
      <c r="G61" s="44"/>
      <c r="H61" s="28"/>
      <c r="I61" s="28"/>
      <c r="J61" s="44"/>
      <c r="K61" s="44"/>
      <c r="L61" s="44"/>
      <c r="M61" s="44"/>
      <c r="N61" s="96"/>
      <c r="O61" s="96"/>
      <c r="P61" s="28">
        <f t="shared" si="5"/>
        <v>14000</v>
      </c>
      <c r="Q61" s="28">
        <f>+'[1]EGR SEPTIEMBRE 2024'!$Q$34</f>
        <v>450</v>
      </c>
      <c r="R61" s="28">
        <f t="shared" si="6"/>
        <v>13550</v>
      </c>
      <c r="S61" s="88">
        <f t="shared" si="8"/>
        <v>7.4920730121494968E-5</v>
      </c>
    </row>
    <row r="62" spans="1:19" ht="15.95" hidden="1" customHeight="1" x14ac:dyDescent="0.25">
      <c r="A62" s="41" t="s">
        <v>106</v>
      </c>
      <c r="B62" s="29" t="s">
        <v>167</v>
      </c>
      <c r="C62" s="28">
        <v>0</v>
      </c>
      <c r="D62" s="28"/>
      <c r="E62" s="28"/>
      <c r="F62" s="44"/>
      <c r="G62" s="44"/>
      <c r="H62" s="28"/>
      <c r="I62" s="28"/>
      <c r="J62" s="44"/>
      <c r="K62" s="44"/>
      <c r="L62" s="44"/>
      <c r="M62" s="44"/>
      <c r="N62" s="96"/>
      <c r="O62" s="96"/>
      <c r="P62" s="28">
        <f t="shared" si="5"/>
        <v>0</v>
      </c>
      <c r="Q62" s="28"/>
      <c r="R62" s="28">
        <f t="shared" si="6"/>
        <v>0</v>
      </c>
      <c r="S62" s="88">
        <f t="shared" si="8"/>
        <v>0</v>
      </c>
    </row>
    <row r="63" spans="1:19" ht="15.95" customHeight="1" x14ac:dyDescent="0.25">
      <c r="A63" s="41">
        <v>169</v>
      </c>
      <c r="B63" s="29" t="s">
        <v>236</v>
      </c>
      <c r="C63" s="28">
        <v>15000</v>
      </c>
      <c r="D63" s="28"/>
      <c r="E63" s="28"/>
      <c r="F63" s="44"/>
      <c r="G63" s="44"/>
      <c r="H63" s="28"/>
      <c r="I63" s="28"/>
      <c r="J63" s="44"/>
      <c r="K63" s="44"/>
      <c r="L63" s="44"/>
      <c r="M63" s="44"/>
      <c r="N63" s="96"/>
      <c r="O63" s="96"/>
      <c r="P63" s="28">
        <f t="shared" ref="P63:P94" si="9">+C63+D63-E63+F63-G63+H63-I63+J63-K63+L63-M63+N63-O63</f>
        <v>15000</v>
      </c>
      <c r="Q63" s="28"/>
      <c r="R63" s="28">
        <f t="shared" si="6"/>
        <v>15000</v>
      </c>
      <c r="S63" s="88"/>
    </row>
    <row r="64" spans="1:19" ht="15.95" customHeight="1" x14ac:dyDescent="0.25">
      <c r="A64" s="41">
        <v>171</v>
      </c>
      <c r="B64" s="29" t="s">
        <v>167</v>
      </c>
      <c r="C64" s="28">
        <v>115000</v>
      </c>
      <c r="D64" s="28"/>
      <c r="E64" s="28"/>
      <c r="F64" s="44"/>
      <c r="G64" s="44">
        <v>100000</v>
      </c>
      <c r="H64" s="28"/>
      <c r="I64" s="28"/>
      <c r="J64" s="44"/>
      <c r="K64" s="44"/>
      <c r="L64" s="44"/>
      <c r="M64" s="44"/>
      <c r="N64" s="96"/>
      <c r="O64" s="96"/>
      <c r="P64" s="28">
        <f t="shared" si="9"/>
        <v>15000</v>
      </c>
      <c r="Q64" s="28"/>
      <c r="R64" s="28">
        <f t="shared" si="6"/>
        <v>15000</v>
      </c>
      <c r="S64" s="88"/>
    </row>
    <row r="65" spans="1:23" ht="15.95" customHeight="1" x14ac:dyDescent="0.25">
      <c r="A65" s="41" t="s">
        <v>107</v>
      </c>
      <c r="B65" s="29" t="s">
        <v>168</v>
      </c>
      <c r="C65" s="28">
        <v>30750</v>
      </c>
      <c r="D65" s="28"/>
      <c r="E65" s="28"/>
      <c r="F65" s="44"/>
      <c r="G65" s="44"/>
      <c r="H65" s="28"/>
      <c r="I65" s="28"/>
      <c r="J65" s="44"/>
      <c r="K65" s="44"/>
      <c r="L65" s="44"/>
      <c r="M65" s="44"/>
      <c r="N65" s="96"/>
      <c r="O65" s="96"/>
      <c r="P65" s="28">
        <f t="shared" si="9"/>
        <v>30750</v>
      </c>
      <c r="Q65" s="28"/>
      <c r="R65" s="28">
        <f t="shared" si="6"/>
        <v>30750</v>
      </c>
      <c r="S65" s="88">
        <f>Q65/$Q$144</f>
        <v>0</v>
      </c>
    </row>
    <row r="66" spans="1:23" ht="15.95" customHeight="1" x14ac:dyDescent="0.25">
      <c r="A66" s="41">
        <v>176</v>
      </c>
      <c r="B66" s="29" t="s">
        <v>263</v>
      </c>
      <c r="C66" s="28">
        <v>0</v>
      </c>
      <c r="D66" s="28"/>
      <c r="E66" s="28"/>
      <c r="F66" s="44">
        <v>20000</v>
      </c>
      <c r="G66" s="44"/>
      <c r="H66" s="28"/>
      <c r="I66" s="28"/>
      <c r="J66" s="44"/>
      <c r="K66" s="44"/>
      <c r="L66" s="44"/>
      <c r="M66" s="44"/>
      <c r="N66" s="96"/>
      <c r="O66" s="96"/>
      <c r="P66" s="28">
        <f t="shared" si="9"/>
        <v>20000</v>
      </c>
      <c r="Q66" s="28">
        <f>+'[1]EGR SEPTIEMBRE 2024'!$Q$37</f>
        <v>4000</v>
      </c>
      <c r="R66" s="28">
        <f t="shared" si="6"/>
        <v>16000</v>
      </c>
      <c r="S66" s="88"/>
    </row>
    <row r="67" spans="1:23" ht="15.95" customHeight="1" x14ac:dyDescent="0.25">
      <c r="A67" s="41" t="s">
        <v>108</v>
      </c>
      <c r="B67" s="29" t="s">
        <v>169</v>
      </c>
      <c r="C67" s="28">
        <v>260706.83</v>
      </c>
      <c r="D67" s="28"/>
      <c r="E67" s="28"/>
      <c r="F67" s="44"/>
      <c r="G67" s="44"/>
      <c r="H67" s="28"/>
      <c r="I67" s="28"/>
      <c r="J67" s="44"/>
      <c r="K67" s="44"/>
      <c r="L67" s="44"/>
      <c r="M67" s="44"/>
      <c r="N67" s="96"/>
      <c r="O67" s="96"/>
      <c r="P67" s="28">
        <f t="shared" si="9"/>
        <v>260706.83</v>
      </c>
      <c r="Q67" s="28"/>
      <c r="R67" s="28">
        <f t="shared" si="6"/>
        <v>260706.83</v>
      </c>
      <c r="S67" s="88">
        <f t="shared" ref="S67:S81" si="10">Q67/$Q$144</f>
        <v>0</v>
      </c>
    </row>
    <row r="68" spans="1:23" ht="15.95" customHeight="1" x14ac:dyDescent="0.25">
      <c r="A68" s="41">
        <v>182</v>
      </c>
      <c r="B68" s="29" t="s">
        <v>235</v>
      </c>
      <c r="C68" s="28">
        <v>10000</v>
      </c>
      <c r="D68" s="28"/>
      <c r="E68" s="28"/>
      <c r="F68" s="44"/>
      <c r="G68" s="44"/>
      <c r="H68" s="28"/>
      <c r="I68" s="28"/>
      <c r="J68" s="44"/>
      <c r="K68" s="44"/>
      <c r="L68" s="44"/>
      <c r="M68" s="44"/>
      <c r="N68" s="97"/>
      <c r="O68" s="97"/>
      <c r="P68" s="28">
        <f t="shared" si="9"/>
        <v>10000</v>
      </c>
      <c r="Q68" s="28"/>
      <c r="R68" s="28">
        <f t="shared" si="6"/>
        <v>10000</v>
      </c>
      <c r="S68" s="88">
        <f t="shared" si="10"/>
        <v>0</v>
      </c>
    </row>
    <row r="69" spans="1:23" ht="15.95" customHeight="1" x14ac:dyDescent="0.25">
      <c r="A69" s="41" t="s">
        <v>109</v>
      </c>
      <c r="B69" s="29" t="s">
        <v>170</v>
      </c>
      <c r="C69" s="28">
        <v>54000</v>
      </c>
      <c r="D69" s="28"/>
      <c r="E69" s="28"/>
      <c r="F69" s="44">
        <v>6000</v>
      </c>
      <c r="G69" s="44"/>
      <c r="H69" s="28"/>
      <c r="I69" s="28"/>
      <c r="J69" s="44"/>
      <c r="K69" s="44"/>
      <c r="L69" s="44"/>
      <c r="M69" s="44"/>
      <c r="N69" s="96"/>
      <c r="O69" s="96"/>
      <c r="P69" s="28">
        <f t="shared" si="9"/>
        <v>60000</v>
      </c>
      <c r="Q69" s="28">
        <f>+'[1]EGR SEPTIEMBRE 2024'!$Q$39</f>
        <v>30097.440000000002</v>
      </c>
      <c r="R69" s="28">
        <f t="shared" si="6"/>
        <v>29902.559999999998</v>
      </c>
      <c r="S69" s="88">
        <f t="shared" si="10"/>
        <v>5.0109381768619725E-3</v>
      </c>
    </row>
    <row r="70" spans="1:23" ht="15.95" customHeight="1" x14ac:dyDescent="0.25">
      <c r="A70" s="41" t="s">
        <v>110</v>
      </c>
      <c r="B70" s="29" t="s">
        <v>171</v>
      </c>
      <c r="C70" s="28">
        <v>54000</v>
      </c>
      <c r="D70" s="28"/>
      <c r="E70" s="28"/>
      <c r="F70" s="44">
        <v>90000</v>
      </c>
      <c r="G70" s="44"/>
      <c r="H70" s="28"/>
      <c r="I70" s="28"/>
      <c r="J70" s="44"/>
      <c r="K70" s="44"/>
      <c r="L70" s="44"/>
      <c r="M70" s="44"/>
      <c r="N70" s="96"/>
      <c r="O70" s="96"/>
      <c r="P70" s="28">
        <f t="shared" si="9"/>
        <v>144000</v>
      </c>
      <c r="Q70" s="28">
        <f>+'[1]EGR SEPTIEMBRE 2024'!$Q$40</f>
        <v>40500</v>
      </c>
      <c r="R70" s="28">
        <f t="shared" si="6"/>
        <v>103500</v>
      </c>
      <c r="S70" s="88">
        <f t="shared" si="10"/>
        <v>6.7428657109345471E-3</v>
      </c>
    </row>
    <row r="71" spans="1:23" ht="15.95" customHeight="1" x14ac:dyDescent="0.25">
      <c r="A71" s="41" t="s">
        <v>111</v>
      </c>
      <c r="B71" s="29" t="s">
        <v>57</v>
      </c>
      <c r="C71" s="28">
        <v>7500</v>
      </c>
      <c r="D71" s="28"/>
      <c r="E71" s="28"/>
      <c r="F71" s="44"/>
      <c r="G71" s="44"/>
      <c r="H71" s="28"/>
      <c r="I71" s="28"/>
      <c r="J71" s="44">
        <v>2000</v>
      </c>
      <c r="K71" s="44"/>
      <c r="L71" s="44"/>
      <c r="M71" s="44"/>
      <c r="N71" s="97"/>
      <c r="O71" s="97"/>
      <c r="P71" s="28">
        <f t="shared" si="9"/>
        <v>9500</v>
      </c>
      <c r="Q71" s="28">
        <f>+'[1]EGR SEPTIEMBRE 2024'!$Q$41</f>
        <v>1176</v>
      </c>
      <c r="R71" s="28">
        <f t="shared" si="6"/>
        <v>8324</v>
      </c>
      <c r="S71" s="88">
        <f t="shared" si="10"/>
        <v>1.9579284138417351E-4</v>
      </c>
    </row>
    <row r="72" spans="1:23" ht="15.95" customHeight="1" x14ac:dyDescent="0.25">
      <c r="A72" s="41" t="s">
        <v>112</v>
      </c>
      <c r="B72" s="29" t="s">
        <v>172</v>
      </c>
      <c r="C72" s="28">
        <v>24540</v>
      </c>
      <c r="D72" s="28"/>
      <c r="E72" s="28"/>
      <c r="F72" s="44"/>
      <c r="G72" s="44"/>
      <c r="H72" s="28"/>
      <c r="I72" s="28"/>
      <c r="J72" s="44"/>
      <c r="K72" s="44"/>
      <c r="L72" s="44"/>
      <c r="M72" s="44"/>
      <c r="N72" s="96"/>
      <c r="O72" s="96"/>
      <c r="P72" s="28">
        <f t="shared" si="9"/>
        <v>24540</v>
      </c>
      <c r="Q72" s="28"/>
      <c r="R72" s="28">
        <f t="shared" si="6"/>
        <v>24540</v>
      </c>
      <c r="S72" s="88">
        <f t="shared" si="10"/>
        <v>0</v>
      </c>
    </row>
    <row r="73" spans="1:23" ht="15.95" customHeight="1" x14ac:dyDescent="0.25">
      <c r="A73" s="41" t="s">
        <v>113</v>
      </c>
      <c r="B73" s="29" t="s">
        <v>173</v>
      </c>
      <c r="C73" s="28">
        <v>863300</v>
      </c>
      <c r="D73" s="28"/>
      <c r="E73" s="28"/>
      <c r="F73" s="44"/>
      <c r="G73" s="44"/>
      <c r="H73" s="28">
        <v>100000</v>
      </c>
      <c r="I73" s="28"/>
      <c r="J73" s="44"/>
      <c r="K73" s="44"/>
      <c r="L73" s="44"/>
      <c r="M73" s="44"/>
      <c r="N73" s="90"/>
      <c r="O73" s="90"/>
      <c r="P73" s="28">
        <f t="shared" si="9"/>
        <v>963300</v>
      </c>
      <c r="Q73" s="28">
        <f>+'[1]EGR SEPTIEMBRE 2024'!$Q$43</f>
        <v>718366.95</v>
      </c>
      <c r="R73" s="28">
        <f t="shared" si="6"/>
        <v>244933.05000000005</v>
      </c>
      <c r="S73" s="88">
        <f t="shared" si="10"/>
        <v>0.11960128086478103</v>
      </c>
    </row>
    <row r="74" spans="1:23" ht="15.95" customHeight="1" x14ac:dyDescent="0.25">
      <c r="A74" s="41" t="s">
        <v>114</v>
      </c>
      <c r="B74" s="29" t="s">
        <v>174</v>
      </c>
      <c r="C74" s="28">
        <v>8000</v>
      </c>
      <c r="D74" s="28"/>
      <c r="E74" s="28"/>
      <c r="F74" s="44"/>
      <c r="G74" s="44"/>
      <c r="H74" s="28"/>
      <c r="I74" s="28"/>
      <c r="J74" s="44"/>
      <c r="K74" s="44"/>
      <c r="L74" s="44"/>
      <c r="M74" s="44"/>
      <c r="N74" s="90"/>
      <c r="O74" s="90"/>
      <c r="P74" s="28">
        <f t="shared" si="9"/>
        <v>8000</v>
      </c>
      <c r="Q74" s="28"/>
      <c r="R74" s="28">
        <f t="shared" si="6"/>
        <v>8000</v>
      </c>
      <c r="S74" s="88">
        <f t="shared" si="10"/>
        <v>0</v>
      </c>
    </row>
    <row r="75" spans="1:23" ht="15.95" customHeight="1" x14ac:dyDescent="0.25">
      <c r="A75" s="41" t="s">
        <v>115</v>
      </c>
      <c r="B75" s="29" t="s">
        <v>58</v>
      </c>
      <c r="C75" s="28">
        <v>176000</v>
      </c>
      <c r="D75" s="28"/>
      <c r="E75" s="28"/>
      <c r="F75" s="44"/>
      <c r="G75" s="44">
        <v>46000</v>
      </c>
      <c r="H75" s="28"/>
      <c r="I75" s="28"/>
      <c r="J75" s="44"/>
      <c r="K75" s="44"/>
      <c r="L75" s="44"/>
      <c r="M75" s="44"/>
      <c r="N75" s="95"/>
      <c r="O75" s="95"/>
      <c r="P75" s="28">
        <f t="shared" si="9"/>
        <v>130000</v>
      </c>
      <c r="Q75" s="28"/>
      <c r="R75" s="28">
        <f t="shared" si="6"/>
        <v>130000</v>
      </c>
      <c r="S75" s="88">
        <f t="shared" si="10"/>
        <v>0</v>
      </c>
    </row>
    <row r="76" spans="1:23" ht="15.95" customHeight="1" x14ac:dyDescent="0.25">
      <c r="A76" s="41" t="s">
        <v>116</v>
      </c>
      <c r="B76" s="29" t="s">
        <v>175</v>
      </c>
      <c r="C76" s="28">
        <v>8250</v>
      </c>
      <c r="D76" s="28"/>
      <c r="E76" s="28"/>
      <c r="F76" s="44"/>
      <c r="G76" s="44"/>
      <c r="H76" s="28"/>
      <c r="I76" s="28"/>
      <c r="J76" s="44"/>
      <c r="K76" s="44"/>
      <c r="L76" s="44"/>
      <c r="M76" s="44"/>
      <c r="N76" s="95"/>
      <c r="O76" s="95"/>
      <c r="P76" s="28">
        <f t="shared" si="9"/>
        <v>8250</v>
      </c>
      <c r="Q76" s="28">
        <f>+'[1]EGR SEPTIEMBRE 2024'!$Q$46</f>
        <v>1265.1099999999999</v>
      </c>
      <c r="R76" s="28">
        <f t="shared" si="6"/>
        <v>6984.89</v>
      </c>
      <c r="S76" s="88">
        <f t="shared" si="10"/>
        <v>2.1062881085334332E-4</v>
      </c>
    </row>
    <row r="77" spans="1:23" ht="15.95" customHeight="1" x14ac:dyDescent="0.25">
      <c r="A77" s="41" t="s">
        <v>117</v>
      </c>
      <c r="B77" s="29" t="s">
        <v>176</v>
      </c>
      <c r="C77" s="28">
        <v>2500</v>
      </c>
      <c r="D77" s="28"/>
      <c r="E77" s="28"/>
      <c r="F77" s="44"/>
      <c r="G77" s="44"/>
      <c r="H77" s="28"/>
      <c r="I77" s="28"/>
      <c r="J77" s="44"/>
      <c r="K77" s="44"/>
      <c r="L77" s="44"/>
      <c r="M77" s="44"/>
      <c r="N77" s="95"/>
      <c r="O77" s="95"/>
      <c r="P77" s="28">
        <f t="shared" si="9"/>
        <v>2500</v>
      </c>
      <c r="Q77" s="28">
        <f>+'[1]EGR SEPTIEMBRE 2024'!$Q$47</f>
        <v>722.03000000000009</v>
      </c>
      <c r="R77" s="28">
        <f t="shared" si="6"/>
        <v>1777.9699999999998</v>
      </c>
      <c r="S77" s="88">
        <f t="shared" si="10"/>
        <v>1.2021114393249559E-4</v>
      </c>
    </row>
    <row r="78" spans="1:23" ht="15.95" customHeight="1" x14ac:dyDescent="0.25">
      <c r="A78" s="41" t="s">
        <v>118</v>
      </c>
      <c r="B78" s="29" t="s">
        <v>59</v>
      </c>
      <c r="C78" s="28">
        <v>125000</v>
      </c>
      <c r="D78" s="28"/>
      <c r="E78" s="28"/>
      <c r="F78" s="44"/>
      <c r="G78" s="44"/>
      <c r="H78" s="28"/>
      <c r="I78" s="28"/>
      <c r="J78" s="44"/>
      <c r="K78" s="44"/>
      <c r="L78" s="44"/>
      <c r="M78" s="44"/>
      <c r="N78" s="95"/>
      <c r="O78" s="95"/>
      <c r="P78" s="28">
        <f t="shared" si="9"/>
        <v>125000</v>
      </c>
      <c r="Q78" s="28">
        <f>+'[1]EGR SEPTIEMBRE 2024'!$Q$48</f>
        <v>20890.009999999998</v>
      </c>
      <c r="R78" s="28">
        <f t="shared" si="6"/>
        <v>104109.99</v>
      </c>
      <c r="S78" s="88">
        <f t="shared" si="10"/>
        <v>3.4779884476562909E-3</v>
      </c>
    </row>
    <row r="79" spans="1:23" ht="15.95" customHeight="1" x14ac:dyDescent="0.25">
      <c r="A79" s="41" t="s">
        <v>119</v>
      </c>
      <c r="B79" s="29" t="s">
        <v>177</v>
      </c>
      <c r="C79" s="28">
        <v>50000</v>
      </c>
      <c r="D79" s="28"/>
      <c r="E79" s="28"/>
      <c r="F79" s="44"/>
      <c r="G79" s="44"/>
      <c r="H79" s="28"/>
      <c r="I79" s="28"/>
      <c r="J79" s="44"/>
      <c r="K79" s="44"/>
      <c r="L79" s="44"/>
      <c r="M79" s="44"/>
      <c r="N79" s="95"/>
      <c r="O79" s="95"/>
      <c r="P79" s="28">
        <f t="shared" si="9"/>
        <v>50000</v>
      </c>
      <c r="Q79" s="28">
        <f>+'[1]EGR SEPTIEMBRE 2024'!$Q$49</f>
        <v>10522.8</v>
      </c>
      <c r="R79" s="28">
        <f t="shared" si="6"/>
        <v>39477.199999999997</v>
      </c>
      <c r="S79" s="88">
        <f t="shared" si="10"/>
        <v>1.7519463531610383E-3</v>
      </c>
    </row>
    <row r="80" spans="1:23" ht="15.95" customHeight="1" x14ac:dyDescent="0.25">
      <c r="A80" s="41" t="s">
        <v>178</v>
      </c>
      <c r="B80" s="29" t="s">
        <v>151</v>
      </c>
      <c r="C80" s="28">
        <v>46100</v>
      </c>
      <c r="D80" s="28"/>
      <c r="E80" s="28"/>
      <c r="F80" s="44"/>
      <c r="G80" s="44"/>
      <c r="H80" s="28"/>
      <c r="I80" s="28"/>
      <c r="J80" s="44"/>
      <c r="K80" s="44"/>
      <c r="L80" s="44"/>
      <c r="M80" s="44"/>
      <c r="N80" s="95"/>
      <c r="O80" s="95"/>
      <c r="P80" s="28">
        <f t="shared" si="9"/>
        <v>46100</v>
      </c>
      <c r="Q80" s="28"/>
      <c r="R80" s="28">
        <f t="shared" si="6"/>
        <v>46100</v>
      </c>
      <c r="S80" s="88">
        <f t="shared" si="10"/>
        <v>0</v>
      </c>
      <c r="W80" s="14"/>
    </row>
    <row r="81" spans="1:23" ht="15.95" customHeight="1" x14ac:dyDescent="0.25">
      <c r="A81" s="41" t="s">
        <v>120</v>
      </c>
      <c r="B81" s="29" t="s">
        <v>179</v>
      </c>
      <c r="C81" s="28">
        <v>51000</v>
      </c>
      <c r="D81" s="28"/>
      <c r="E81" s="28"/>
      <c r="F81" s="44"/>
      <c r="G81" s="44"/>
      <c r="H81" s="28"/>
      <c r="I81" s="28"/>
      <c r="J81" s="44"/>
      <c r="K81" s="44"/>
      <c r="L81" s="44"/>
      <c r="M81" s="44"/>
      <c r="N81" s="95"/>
      <c r="O81" s="95"/>
      <c r="P81" s="28">
        <f t="shared" si="9"/>
        <v>51000</v>
      </c>
      <c r="Q81" s="28">
        <f>+'[1]EGR SEPTIEMBRE 2024'!$Q$51</f>
        <v>3897.32</v>
      </c>
      <c r="R81" s="28">
        <f t="shared" si="6"/>
        <v>47102.68</v>
      </c>
      <c r="S81" s="88">
        <f t="shared" si="10"/>
        <v>6.4886679981578836E-4</v>
      </c>
      <c r="W81" s="4"/>
    </row>
    <row r="82" spans="1:23" ht="15.95" customHeight="1" x14ac:dyDescent="0.25">
      <c r="A82" s="41"/>
      <c r="B82" s="29"/>
      <c r="C82" s="28"/>
      <c r="D82" s="28"/>
      <c r="E82" s="28"/>
      <c r="F82" s="44"/>
      <c r="G82" s="44"/>
      <c r="H82" s="28"/>
      <c r="I82" s="28"/>
      <c r="J82" s="44"/>
      <c r="K82" s="44"/>
      <c r="L82" s="44"/>
      <c r="M82" s="44"/>
      <c r="N82" s="95"/>
      <c r="O82" s="95"/>
      <c r="P82" s="28">
        <f t="shared" si="9"/>
        <v>0</v>
      </c>
      <c r="Q82" s="28"/>
      <c r="R82" s="28"/>
      <c r="S82" s="88"/>
    </row>
    <row r="83" spans="1:23" ht="15.95" customHeight="1" x14ac:dyDescent="0.25">
      <c r="A83" s="39">
        <v>2</v>
      </c>
      <c r="B83" s="40" t="s">
        <v>60</v>
      </c>
      <c r="C83" s="26"/>
      <c r="D83" s="28"/>
      <c r="E83" s="28"/>
      <c r="F83" s="44"/>
      <c r="G83" s="44"/>
      <c r="H83" s="28"/>
      <c r="I83" s="28"/>
      <c r="J83" s="44"/>
      <c r="K83" s="44"/>
      <c r="L83" s="44"/>
      <c r="M83" s="44"/>
      <c r="N83" s="95"/>
      <c r="O83" s="95"/>
      <c r="P83" s="28">
        <f t="shared" si="9"/>
        <v>0</v>
      </c>
      <c r="Q83" s="28"/>
      <c r="R83" s="28"/>
      <c r="S83" s="88"/>
    </row>
    <row r="84" spans="1:23" ht="15.95" customHeight="1" x14ac:dyDescent="0.25">
      <c r="A84" s="41" t="s">
        <v>121</v>
      </c>
      <c r="B84" s="29" t="s">
        <v>61</v>
      </c>
      <c r="C84" s="28">
        <v>146784.1</v>
      </c>
      <c r="D84" s="28"/>
      <c r="E84" s="28"/>
      <c r="F84" s="44"/>
      <c r="G84" s="44"/>
      <c r="H84" s="28"/>
      <c r="I84" s="28"/>
      <c r="J84" s="44"/>
      <c r="K84" s="44"/>
      <c r="L84" s="44"/>
      <c r="M84" s="44"/>
      <c r="N84" s="95"/>
      <c r="O84" s="95"/>
      <c r="P84" s="28">
        <f t="shared" si="9"/>
        <v>146784.1</v>
      </c>
      <c r="Q84" s="28">
        <f>+'[1]EGR SEPTIEMBRE 2024'!$Q$52</f>
        <v>39066.85</v>
      </c>
      <c r="R84" s="28">
        <f t="shared" si="6"/>
        <v>107717.25</v>
      </c>
      <c r="S84" s="88">
        <f t="shared" ref="S84:S120" si="11">Q84/$Q$144</f>
        <v>6.5042598345487236E-3</v>
      </c>
      <c r="W84" s="4"/>
    </row>
    <row r="85" spans="1:23" ht="15.95" hidden="1" customHeight="1" x14ac:dyDescent="0.25">
      <c r="A85" s="41">
        <v>214</v>
      </c>
      <c r="B85" s="29" t="s">
        <v>191</v>
      </c>
      <c r="C85" s="28">
        <v>0</v>
      </c>
      <c r="D85" s="28"/>
      <c r="E85" s="28"/>
      <c r="F85" s="44"/>
      <c r="G85" s="44"/>
      <c r="H85" s="28"/>
      <c r="I85" s="28"/>
      <c r="J85" s="44"/>
      <c r="K85" s="44"/>
      <c r="L85" s="44"/>
      <c r="M85" s="44"/>
      <c r="N85" s="90"/>
      <c r="O85" s="90"/>
      <c r="P85" s="28">
        <f t="shared" si="9"/>
        <v>0</v>
      </c>
      <c r="Q85" s="28"/>
      <c r="R85" s="28">
        <f t="shared" si="6"/>
        <v>0</v>
      </c>
      <c r="S85" s="88">
        <f t="shared" si="11"/>
        <v>0</v>
      </c>
    </row>
    <row r="86" spans="1:23" ht="15.95" customHeight="1" x14ac:dyDescent="0.25">
      <c r="A86" s="41">
        <v>223</v>
      </c>
      <c r="B86" s="29" t="s">
        <v>192</v>
      </c>
      <c r="C86" s="28">
        <v>2000</v>
      </c>
      <c r="D86" s="28"/>
      <c r="E86" s="28"/>
      <c r="F86" s="44"/>
      <c r="G86" s="44"/>
      <c r="H86" s="28">
        <v>10000</v>
      </c>
      <c r="I86" s="28"/>
      <c r="J86" s="44"/>
      <c r="K86" s="44"/>
      <c r="L86" s="44"/>
      <c r="M86" s="44"/>
      <c r="N86" s="90"/>
      <c r="O86" s="90"/>
      <c r="P86" s="28">
        <f t="shared" si="9"/>
        <v>12000</v>
      </c>
      <c r="Q86" s="28">
        <f>+'[1]EGR SEPTIEMBRE 2024'!$Q$54</f>
        <v>165</v>
      </c>
      <c r="R86" s="28">
        <f t="shared" si="6"/>
        <v>11835</v>
      </c>
      <c r="S86" s="88">
        <f t="shared" si="11"/>
        <v>2.7470934377881487E-5</v>
      </c>
    </row>
    <row r="87" spans="1:23" ht="15.95" hidden="1" customHeight="1" x14ac:dyDescent="0.25">
      <c r="A87" s="41">
        <v>229</v>
      </c>
      <c r="B87" s="29" t="s">
        <v>193</v>
      </c>
      <c r="C87" s="28">
        <v>0</v>
      </c>
      <c r="D87" s="28"/>
      <c r="E87" s="28"/>
      <c r="F87" s="44"/>
      <c r="G87" s="44"/>
      <c r="H87" s="28"/>
      <c r="I87" s="28"/>
      <c r="J87" s="44"/>
      <c r="K87" s="44"/>
      <c r="L87" s="44"/>
      <c r="M87" s="44"/>
      <c r="N87" s="90"/>
      <c r="O87" s="90"/>
      <c r="P87" s="28">
        <f t="shared" si="9"/>
        <v>0</v>
      </c>
      <c r="Q87" s="28"/>
      <c r="R87" s="28">
        <f t="shared" si="6"/>
        <v>0</v>
      </c>
      <c r="S87" s="88">
        <f t="shared" si="11"/>
        <v>0</v>
      </c>
    </row>
    <row r="88" spans="1:23" ht="15.95" customHeight="1" x14ac:dyDescent="0.25">
      <c r="A88" s="41" t="s">
        <v>122</v>
      </c>
      <c r="B88" s="29" t="s">
        <v>62</v>
      </c>
      <c r="C88" s="28">
        <v>5000</v>
      </c>
      <c r="D88" s="28"/>
      <c r="E88" s="28"/>
      <c r="F88" s="44"/>
      <c r="G88" s="44"/>
      <c r="H88" s="28"/>
      <c r="I88" s="28"/>
      <c r="J88" s="44"/>
      <c r="K88" s="44"/>
      <c r="L88" s="44"/>
      <c r="M88" s="44"/>
      <c r="N88" s="90"/>
      <c r="O88" s="90"/>
      <c r="P88" s="28">
        <f t="shared" si="9"/>
        <v>5000</v>
      </c>
      <c r="Q88" s="28">
        <f>+'[1]EGR SEPTIEMBRE 2024'!$Q$56</f>
        <v>827.19</v>
      </c>
      <c r="R88" s="28">
        <f t="shared" si="6"/>
        <v>4172.8099999999995</v>
      </c>
      <c r="S88" s="88">
        <f t="shared" si="11"/>
        <v>1.3771928610933207E-4</v>
      </c>
    </row>
    <row r="89" spans="1:23" ht="15.95" customHeight="1" x14ac:dyDescent="0.25">
      <c r="A89" s="41" t="s">
        <v>123</v>
      </c>
      <c r="B89" s="29" t="s">
        <v>63</v>
      </c>
      <c r="C89" s="28">
        <v>33800</v>
      </c>
      <c r="D89" s="28"/>
      <c r="E89" s="28"/>
      <c r="F89" s="44"/>
      <c r="G89" s="44"/>
      <c r="H89" s="28">
        <v>20017.62</v>
      </c>
      <c r="I89" s="28"/>
      <c r="J89" s="44">
        <v>15000</v>
      </c>
      <c r="K89" s="44"/>
      <c r="L89" s="44"/>
      <c r="M89" s="44"/>
      <c r="N89" s="90"/>
      <c r="O89" s="90"/>
      <c r="P89" s="28">
        <f t="shared" si="9"/>
        <v>68817.62</v>
      </c>
      <c r="Q89" s="28">
        <f>+'[1]EGR SEPTIEMBRE 2024'!$Q$57</f>
        <v>40953.800000000003</v>
      </c>
      <c r="R89" s="28">
        <f t="shared" si="6"/>
        <v>27863.819999999992</v>
      </c>
      <c r="S89" s="88">
        <f t="shared" si="11"/>
        <v>6.8184191049992906E-3</v>
      </c>
    </row>
    <row r="90" spans="1:23" ht="15.95" customHeight="1" x14ac:dyDescent="0.25">
      <c r="A90" s="41" t="s">
        <v>124</v>
      </c>
      <c r="B90" s="29" t="s">
        <v>64</v>
      </c>
      <c r="C90" s="28">
        <v>5250</v>
      </c>
      <c r="D90" s="28"/>
      <c r="E90" s="28"/>
      <c r="F90" s="44"/>
      <c r="G90" s="44"/>
      <c r="H90" s="28"/>
      <c r="I90" s="28"/>
      <c r="J90" s="44"/>
      <c r="K90" s="44"/>
      <c r="L90" s="44"/>
      <c r="M90" s="44"/>
      <c r="N90" s="90"/>
      <c r="O90" s="90"/>
      <c r="P90" s="28">
        <f t="shared" si="9"/>
        <v>5250</v>
      </c>
      <c r="Q90" s="28">
        <f>+'[1]EGR SEPTIEMBRE 2024'!$Q$58</f>
        <v>3112.65</v>
      </c>
      <c r="R90" s="28">
        <f t="shared" si="6"/>
        <v>2137.35</v>
      </c>
      <c r="S90" s="88">
        <f t="shared" si="11"/>
        <v>5.1822669025038072E-4</v>
      </c>
    </row>
    <row r="91" spans="1:23" ht="15.95" customHeight="1" x14ac:dyDescent="0.25">
      <c r="A91" s="41" t="s">
        <v>125</v>
      </c>
      <c r="B91" s="29" t="s">
        <v>65</v>
      </c>
      <c r="C91" s="28">
        <v>10500</v>
      </c>
      <c r="D91" s="28"/>
      <c r="E91" s="28"/>
      <c r="F91" s="44"/>
      <c r="G91" s="44"/>
      <c r="H91" s="28"/>
      <c r="I91" s="28"/>
      <c r="J91" s="44"/>
      <c r="K91" s="44"/>
      <c r="L91" s="44"/>
      <c r="M91" s="44"/>
      <c r="N91" s="90"/>
      <c r="O91" s="90"/>
      <c r="P91" s="28">
        <f t="shared" si="9"/>
        <v>10500</v>
      </c>
      <c r="Q91" s="28">
        <f>+'[1]EGR SEPTIEMBRE 2024'!$Q$59</f>
        <v>6220.9700000000012</v>
      </c>
      <c r="R91" s="28">
        <f t="shared" si="6"/>
        <v>4279.0299999999988</v>
      </c>
      <c r="S91" s="88">
        <f t="shared" si="11"/>
        <v>1.0357324765864814E-3</v>
      </c>
    </row>
    <row r="92" spans="1:23" ht="15.95" customHeight="1" x14ac:dyDescent="0.25">
      <c r="A92" s="41" t="s">
        <v>126</v>
      </c>
      <c r="B92" s="29" t="s">
        <v>194</v>
      </c>
      <c r="C92" s="28">
        <v>3050</v>
      </c>
      <c r="D92" s="28"/>
      <c r="E92" s="28"/>
      <c r="F92" s="44"/>
      <c r="G92" s="44"/>
      <c r="H92" s="28"/>
      <c r="I92" s="28"/>
      <c r="J92" s="44"/>
      <c r="K92" s="44"/>
      <c r="L92" s="44"/>
      <c r="M92" s="44"/>
      <c r="N92" s="90"/>
      <c r="O92" s="90"/>
      <c r="P92" s="28">
        <f t="shared" si="9"/>
        <v>3050</v>
      </c>
      <c r="Q92" s="28">
        <f>+'[1]EGR SEPTIEMBRE 2024'!$Q$60</f>
        <v>1844.6499999999999</v>
      </c>
      <c r="R92" s="28">
        <f t="shared" si="6"/>
        <v>1205.3500000000001</v>
      </c>
      <c r="S92" s="88">
        <f t="shared" si="11"/>
        <v>3.0711672181914598E-4</v>
      </c>
    </row>
    <row r="93" spans="1:23" ht="15.95" customHeight="1" x14ac:dyDescent="0.25">
      <c r="A93" s="41" t="s">
        <v>127</v>
      </c>
      <c r="B93" s="29" t="s">
        <v>66</v>
      </c>
      <c r="C93" s="28">
        <v>875</v>
      </c>
      <c r="D93" s="28"/>
      <c r="E93" s="28"/>
      <c r="F93" s="44"/>
      <c r="G93" s="44"/>
      <c r="H93" s="28"/>
      <c r="I93" s="28"/>
      <c r="J93" s="44"/>
      <c r="K93" s="44"/>
      <c r="L93" s="44"/>
      <c r="M93" s="44"/>
      <c r="N93" s="90"/>
      <c r="O93" s="90"/>
      <c r="P93" s="28">
        <f t="shared" si="9"/>
        <v>875</v>
      </c>
      <c r="Q93" s="28"/>
      <c r="R93" s="28">
        <f t="shared" si="6"/>
        <v>875</v>
      </c>
      <c r="S93" s="88">
        <f t="shared" si="11"/>
        <v>0</v>
      </c>
    </row>
    <row r="94" spans="1:23" ht="15.95" customHeight="1" x14ac:dyDescent="0.25">
      <c r="A94" s="41" t="s">
        <v>128</v>
      </c>
      <c r="B94" s="29" t="s">
        <v>195</v>
      </c>
      <c r="C94" s="28">
        <v>5500</v>
      </c>
      <c r="D94" s="28"/>
      <c r="E94" s="28"/>
      <c r="F94" s="44"/>
      <c r="G94" s="44"/>
      <c r="H94" s="28"/>
      <c r="I94" s="28"/>
      <c r="J94" s="44"/>
      <c r="K94" s="44"/>
      <c r="L94" s="44"/>
      <c r="M94" s="44"/>
      <c r="N94" s="90"/>
      <c r="O94" s="90"/>
      <c r="P94" s="28">
        <f t="shared" si="9"/>
        <v>5500</v>
      </c>
      <c r="Q94" s="28"/>
      <c r="R94" s="28">
        <f t="shared" si="6"/>
        <v>5500</v>
      </c>
      <c r="S94" s="88">
        <f t="shared" si="11"/>
        <v>0</v>
      </c>
    </row>
    <row r="95" spans="1:23" ht="15.95" customHeight="1" x14ac:dyDescent="0.25">
      <c r="A95" s="41" t="s">
        <v>129</v>
      </c>
      <c r="B95" s="29" t="s">
        <v>67</v>
      </c>
      <c r="C95" s="28">
        <v>2700</v>
      </c>
      <c r="D95" s="28"/>
      <c r="E95" s="28"/>
      <c r="F95" s="44"/>
      <c r="G95" s="44"/>
      <c r="H95" s="28"/>
      <c r="I95" s="28"/>
      <c r="J95" s="44"/>
      <c r="K95" s="44"/>
      <c r="L95" s="44"/>
      <c r="M95" s="44"/>
      <c r="N95" s="90"/>
      <c r="O95" s="90"/>
      <c r="P95" s="28">
        <f t="shared" ref="P95:P126" si="12">+C95+D95-E95+F95-G95+H95-I95+J95-K95+L95-M95+N95-O95</f>
        <v>2700</v>
      </c>
      <c r="Q95" s="28">
        <f>+'[1]EGR SEPTIEMBRE 2024'!$Q$63</f>
        <v>2697.65</v>
      </c>
      <c r="R95" s="28">
        <f t="shared" si="6"/>
        <v>2.3499999999999091</v>
      </c>
      <c r="S95" s="88">
        <f t="shared" si="11"/>
        <v>4.4913312802722424E-4</v>
      </c>
    </row>
    <row r="96" spans="1:23" ht="15.95" customHeight="1" x14ac:dyDescent="0.25">
      <c r="A96" s="41" t="s">
        <v>196</v>
      </c>
      <c r="B96" s="29" t="s">
        <v>197</v>
      </c>
      <c r="C96" s="28">
        <v>2800</v>
      </c>
      <c r="D96" s="28"/>
      <c r="E96" s="28"/>
      <c r="F96" s="44"/>
      <c r="G96" s="44"/>
      <c r="H96" s="28"/>
      <c r="I96" s="28"/>
      <c r="J96" s="44"/>
      <c r="K96" s="44"/>
      <c r="L96" s="44"/>
      <c r="M96" s="44"/>
      <c r="N96" s="90"/>
      <c r="O96" s="90"/>
      <c r="P96" s="28">
        <f t="shared" si="12"/>
        <v>2800</v>
      </c>
      <c r="Q96" s="28">
        <f>+'[1]EGR SEPTIEMBRE 2024'!$Q$64</f>
        <v>287</v>
      </c>
      <c r="R96" s="28">
        <f t="shared" si="6"/>
        <v>2513</v>
      </c>
      <c r="S96" s="88">
        <f t="shared" si="11"/>
        <v>4.7782776766375679E-5</v>
      </c>
    </row>
    <row r="97" spans="1:19" ht="15.95" customHeight="1" x14ac:dyDescent="0.25">
      <c r="A97" s="41" t="s">
        <v>130</v>
      </c>
      <c r="B97" s="29" t="s">
        <v>68</v>
      </c>
      <c r="C97" s="28">
        <v>8500</v>
      </c>
      <c r="D97" s="28"/>
      <c r="E97" s="28"/>
      <c r="F97" s="44"/>
      <c r="G97" s="44"/>
      <c r="H97" s="28"/>
      <c r="I97" s="28"/>
      <c r="J97" s="44"/>
      <c r="K97" s="44"/>
      <c r="L97" s="44"/>
      <c r="M97" s="44"/>
      <c r="N97" s="90"/>
      <c r="O97" s="90"/>
      <c r="P97" s="28">
        <f t="shared" si="12"/>
        <v>8500</v>
      </c>
      <c r="Q97" s="28">
        <f>+'[1]EGR SEPTIEMBRE 2024'!$Q$65</f>
        <v>5329.45</v>
      </c>
      <c r="R97" s="28">
        <f t="shared" si="6"/>
        <v>3170.55</v>
      </c>
      <c r="S97" s="88">
        <f t="shared" si="11"/>
        <v>8.8730285588000302E-4</v>
      </c>
    </row>
    <row r="98" spans="1:19" ht="15.95" customHeight="1" x14ac:dyDescent="0.25">
      <c r="A98" s="41" t="s">
        <v>131</v>
      </c>
      <c r="B98" s="29" t="s">
        <v>198</v>
      </c>
      <c r="C98" s="28">
        <v>6000</v>
      </c>
      <c r="D98" s="28"/>
      <c r="E98" s="28"/>
      <c r="F98" s="44"/>
      <c r="G98" s="44"/>
      <c r="H98" s="28"/>
      <c r="I98" s="28"/>
      <c r="J98" s="44"/>
      <c r="K98" s="44"/>
      <c r="L98" s="44"/>
      <c r="M98" s="44"/>
      <c r="N98" s="90"/>
      <c r="O98" s="90"/>
      <c r="P98" s="28">
        <f t="shared" si="12"/>
        <v>6000</v>
      </c>
      <c r="Q98" s="28">
        <f>+'[1]EGR SEPTIEMBRE 2024'!$Q$66</f>
        <v>777.5</v>
      </c>
      <c r="R98" s="28">
        <f t="shared" si="6"/>
        <v>5222.5</v>
      </c>
      <c r="S98" s="88">
        <f t="shared" si="11"/>
        <v>1.2944637259880518E-4</v>
      </c>
    </row>
    <row r="99" spans="1:19" ht="15.95" customHeight="1" x14ac:dyDescent="0.25">
      <c r="A99" s="41" t="s">
        <v>132</v>
      </c>
      <c r="B99" s="29" t="s">
        <v>69</v>
      </c>
      <c r="C99" s="28">
        <v>17500</v>
      </c>
      <c r="D99" s="28"/>
      <c r="E99" s="28"/>
      <c r="F99" s="44"/>
      <c r="G99" s="44"/>
      <c r="H99" s="28"/>
      <c r="I99" s="28"/>
      <c r="J99" s="44">
        <v>50000</v>
      </c>
      <c r="K99" s="44"/>
      <c r="L99" s="44"/>
      <c r="M99" s="44"/>
      <c r="N99" s="90"/>
      <c r="O99" s="90"/>
      <c r="P99" s="28">
        <f t="shared" si="12"/>
        <v>67500</v>
      </c>
      <c r="Q99" s="28">
        <f>+'[1]EGR SEPTIEMBRE 2024'!$Q$67</f>
        <v>3437.35</v>
      </c>
      <c r="R99" s="28">
        <f t="shared" si="6"/>
        <v>64062.65</v>
      </c>
      <c r="S99" s="88">
        <f t="shared" si="11"/>
        <v>5.7228615929582379E-4</v>
      </c>
    </row>
    <row r="100" spans="1:19" ht="15.95" customHeight="1" x14ac:dyDescent="0.25">
      <c r="A100" s="41" t="s">
        <v>133</v>
      </c>
      <c r="B100" s="29" t="s">
        <v>199</v>
      </c>
      <c r="C100" s="28">
        <v>3000</v>
      </c>
      <c r="D100" s="28"/>
      <c r="E100" s="28"/>
      <c r="F100" s="44"/>
      <c r="G100" s="44"/>
      <c r="H100" s="28"/>
      <c r="I100" s="28"/>
      <c r="J100" s="44"/>
      <c r="K100" s="44"/>
      <c r="L100" s="44"/>
      <c r="M100" s="44"/>
      <c r="N100" s="90"/>
      <c r="O100" s="90"/>
      <c r="P100" s="28">
        <f t="shared" si="12"/>
        <v>3000</v>
      </c>
      <c r="Q100" s="28">
        <f>+'[1]EGR SEPTIEMBRE 2024'!$Q$68</f>
        <v>4755.16</v>
      </c>
      <c r="R100" s="28">
        <f t="shared" si="6"/>
        <v>-1755.1599999999999</v>
      </c>
      <c r="S100" s="88">
        <f t="shared" si="11"/>
        <v>7.9168902009895108E-4</v>
      </c>
    </row>
    <row r="101" spans="1:19" ht="15.95" customHeight="1" x14ac:dyDescent="0.25">
      <c r="A101" s="41" t="s">
        <v>134</v>
      </c>
      <c r="B101" s="29" t="s">
        <v>200</v>
      </c>
      <c r="C101" s="28">
        <v>1500</v>
      </c>
      <c r="D101" s="28"/>
      <c r="E101" s="28"/>
      <c r="F101" s="44"/>
      <c r="G101" s="44"/>
      <c r="H101" s="28"/>
      <c r="I101" s="28"/>
      <c r="J101" s="44"/>
      <c r="K101" s="44"/>
      <c r="L101" s="44"/>
      <c r="M101" s="44"/>
      <c r="N101" s="90"/>
      <c r="O101" s="90"/>
      <c r="P101" s="28">
        <f t="shared" si="12"/>
        <v>1500</v>
      </c>
      <c r="Q101" s="28">
        <f>+'[1]EGR SEPTIEMBRE 2024'!$Q$69</f>
        <v>588</v>
      </c>
      <c r="R101" s="28">
        <f t="shared" ref="R101:R139" si="13">P101-Q101</f>
        <v>912</v>
      </c>
      <c r="S101" s="88">
        <f t="shared" si="11"/>
        <v>9.7896420692086757E-5</v>
      </c>
    </row>
    <row r="102" spans="1:19" ht="15.95" customHeight="1" x14ac:dyDescent="0.25">
      <c r="A102" s="41" t="s">
        <v>135</v>
      </c>
      <c r="B102" s="29" t="s">
        <v>70</v>
      </c>
      <c r="C102" s="28">
        <v>181653.08</v>
      </c>
      <c r="D102" s="28"/>
      <c r="E102" s="28"/>
      <c r="F102" s="44"/>
      <c r="G102" s="44"/>
      <c r="H102" s="28">
        <v>100000</v>
      </c>
      <c r="I102" s="28"/>
      <c r="J102" s="44"/>
      <c r="K102" s="44">
        <v>122000</v>
      </c>
      <c r="L102" s="44"/>
      <c r="M102" s="44"/>
      <c r="N102" s="90"/>
      <c r="O102" s="90"/>
      <c r="P102" s="28">
        <f t="shared" si="12"/>
        <v>159653.07999999996</v>
      </c>
      <c r="Q102" s="28"/>
      <c r="R102" s="28">
        <f t="shared" si="13"/>
        <v>159653.07999999996</v>
      </c>
      <c r="S102" s="88">
        <f t="shared" si="11"/>
        <v>0</v>
      </c>
    </row>
    <row r="103" spans="1:19" ht="15.95" hidden="1" customHeight="1" x14ac:dyDescent="0.25">
      <c r="A103" s="41">
        <v>272</v>
      </c>
      <c r="B103" s="29" t="s">
        <v>201</v>
      </c>
      <c r="C103" s="28">
        <v>0</v>
      </c>
      <c r="D103" s="28"/>
      <c r="E103" s="28"/>
      <c r="F103" s="44"/>
      <c r="G103" s="44"/>
      <c r="H103" s="28"/>
      <c r="I103" s="28"/>
      <c r="J103" s="44"/>
      <c r="K103" s="44"/>
      <c r="L103" s="44"/>
      <c r="M103" s="44"/>
      <c r="N103" s="90"/>
      <c r="O103" s="90"/>
      <c r="P103" s="28">
        <f t="shared" si="12"/>
        <v>0</v>
      </c>
      <c r="Q103" s="28"/>
      <c r="R103" s="28">
        <f t="shared" si="13"/>
        <v>0</v>
      </c>
      <c r="S103" s="88">
        <f t="shared" si="11"/>
        <v>0</v>
      </c>
    </row>
    <row r="104" spans="1:19" ht="15.95" hidden="1" customHeight="1" x14ac:dyDescent="0.25">
      <c r="A104" s="41" t="s">
        <v>136</v>
      </c>
      <c r="B104" s="29" t="s">
        <v>202</v>
      </c>
      <c r="C104" s="28">
        <v>0</v>
      </c>
      <c r="D104" s="28"/>
      <c r="E104" s="28"/>
      <c r="F104" s="44"/>
      <c r="G104" s="44"/>
      <c r="H104" s="28"/>
      <c r="I104" s="28"/>
      <c r="J104" s="44"/>
      <c r="K104" s="44"/>
      <c r="L104" s="44"/>
      <c r="M104" s="44"/>
      <c r="N104" s="90"/>
      <c r="O104" s="90"/>
      <c r="P104" s="28">
        <f t="shared" si="12"/>
        <v>0</v>
      </c>
      <c r="Q104" s="28"/>
      <c r="R104" s="28">
        <f t="shared" si="13"/>
        <v>0</v>
      </c>
      <c r="S104" s="88">
        <f t="shared" si="11"/>
        <v>0</v>
      </c>
    </row>
    <row r="105" spans="1:19" ht="15.95" customHeight="1" x14ac:dyDescent="0.25">
      <c r="A105" s="41">
        <v>274</v>
      </c>
      <c r="B105" s="29" t="s">
        <v>71</v>
      </c>
      <c r="C105" s="28">
        <v>1500</v>
      </c>
      <c r="D105" s="28"/>
      <c r="E105" s="28"/>
      <c r="F105" s="44"/>
      <c r="G105" s="44"/>
      <c r="H105" s="28">
        <v>10000</v>
      </c>
      <c r="I105" s="28"/>
      <c r="J105" s="44"/>
      <c r="K105" s="44"/>
      <c r="L105" s="44"/>
      <c r="M105" s="44"/>
      <c r="N105" s="90"/>
      <c r="O105" s="90"/>
      <c r="P105" s="28">
        <f t="shared" si="12"/>
        <v>11500</v>
      </c>
      <c r="Q105" s="28">
        <f>+'[1]EGR SEPTIEMBRE 2024'!$Q$73</f>
        <v>486</v>
      </c>
      <c r="R105" s="28">
        <f t="shared" si="13"/>
        <v>11014</v>
      </c>
      <c r="S105" s="88">
        <f t="shared" si="11"/>
        <v>8.0914388531214558E-5</v>
      </c>
    </row>
    <row r="106" spans="1:19" ht="15.95" hidden="1" customHeight="1" x14ac:dyDescent="0.25">
      <c r="A106" s="41">
        <v>275</v>
      </c>
      <c r="B106" s="29" t="s">
        <v>203</v>
      </c>
      <c r="C106" s="28">
        <v>0</v>
      </c>
      <c r="D106" s="28"/>
      <c r="E106" s="28"/>
      <c r="F106" s="44"/>
      <c r="G106" s="44"/>
      <c r="H106" s="28"/>
      <c r="I106" s="28"/>
      <c r="J106" s="44"/>
      <c r="K106" s="44"/>
      <c r="L106" s="44"/>
      <c r="M106" s="44"/>
      <c r="N106" s="90"/>
      <c r="O106" s="90"/>
      <c r="P106" s="28">
        <f t="shared" si="12"/>
        <v>0</v>
      </c>
      <c r="Q106" s="28"/>
      <c r="R106" s="28">
        <f t="shared" si="13"/>
        <v>0</v>
      </c>
      <c r="S106" s="88">
        <f t="shared" si="11"/>
        <v>0</v>
      </c>
    </row>
    <row r="107" spans="1:19" ht="15.95" customHeight="1" x14ac:dyDescent="0.25">
      <c r="A107" s="41">
        <v>279</v>
      </c>
      <c r="B107" s="29" t="s">
        <v>204</v>
      </c>
      <c r="C107" s="28">
        <v>750</v>
      </c>
      <c r="D107" s="28"/>
      <c r="E107" s="28"/>
      <c r="F107" s="44"/>
      <c r="G107" s="44"/>
      <c r="H107" s="28"/>
      <c r="I107" s="28"/>
      <c r="J107" s="44"/>
      <c r="K107" s="44"/>
      <c r="L107" s="44"/>
      <c r="M107" s="44"/>
      <c r="N107" s="90"/>
      <c r="O107" s="90"/>
      <c r="P107" s="28">
        <f t="shared" si="12"/>
        <v>750</v>
      </c>
      <c r="Q107" s="28"/>
      <c r="R107" s="28">
        <f t="shared" si="13"/>
        <v>750</v>
      </c>
      <c r="S107" s="88">
        <f t="shared" si="11"/>
        <v>0</v>
      </c>
    </row>
    <row r="108" spans="1:19" ht="15.95" hidden="1" customHeight="1" x14ac:dyDescent="0.25">
      <c r="A108" s="41">
        <v>281</v>
      </c>
      <c r="B108" s="29" t="s">
        <v>205</v>
      </c>
      <c r="C108" s="28">
        <v>0</v>
      </c>
      <c r="D108" s="28"/>
      <c r="E108" s="28"/>
      <c r="F108" s="44"/>
      <c r="G108" s="44"/>
      <c r="H108" s="28"/>
      <c r="I108" s="28"/>
      <c r="J108" s="44"/>
      <c r="K108" s="44"/>
      <c r="L108" s="44"/>
      <c r="M108" s="44"/>
      <c r="N108" s="90"/>
      <c r="O108" s="90"/>
      <c r="P108" s="28">
        <f t="shared" si="12"/>
        <v>0</v>
      </c>
      <c r="Q108" s="28"/>
      <c r="R108" s="28">
        <f t="shared" si="13"/>
        <v>0</v>
      </c>
      <c r="S108" s="88">
        <f t="shared" si="11"/>
        <v>0</v>
      </c>
    </row>
    <row r="109" spans="1:19" ht="15.95" customHeight="1" x14ac:dyDescent="0.25">
      <c r="A109" s="41" t="s">
        <v>137</v>
      </c>
      <c r="B109" s="29" t="s">
        <v>206</v>
      </c>
      <c r="C109" s="28">
        <v>4800</v>
      </c>
      <c r="D109" s="28"/>
      <c r="E109" s="28"/>
      <c r="F109" s="44"/>
      <c r="G109" s="44"/>
      <c r="H109" s="28"/>
      <c r="I109" s="28"/>
      <c r="J109" s="44"/>
      <c r="K109" s="44"/>
      <c r="L109" s="44"/>
      <c r="M109" s="44"/>
      <c r="N109" s="90"/>
      <c r="O109" s="90"/>
      <c r="P109" s="28">
        <f t="shared" si="12"/>
        <v>4800</v>
      </c>
      <c r="Q109" s="28">
        <f>+'[1]EGR SEPTIEMBRE 2024'!$Q$77</f>
        <v>278.55</v>
      </c>
      <c r="R109" s="28">
        <f t="shared" si="13"/>
        <v>4521.45</v>
      </c>
      <c r="S109" s="88">
        <f t="shared" si="11"/>
        <v>4.6375931945205383E-5</v>
      </c>
    </row>
    <row r="110" spans="1:19" ht="15.95" customHeight="1" x14ac:dyDescent="0.25">
      <c r="A110" s="41" t="s">
        <v>138</v>
      </c>
      <c r="B110" s="29" t="s">
        <v>72</v>
      </c>
      <c r="C110" s="28">
        <v>28800</v>
      </c>
      <c r="D110" s="28"/>
      <c r="E110" s="28"/>
      <c r="F110" s="44"/>
      <c r="G110" s="44"/>
      <c r="H110" s="28"/>
      <c r="I110" s="28"/>
      <c r="J110" s="44"/>
      <c r="K110" s="44"/>
      <c r="L110" s="44"/>
      <c r="M110" s="44"/>
      <c r="N110" s="90"/>
      <c r="O110" s="90"/>
      <c r="P110" s="28">
        <f t="shared" si="12"/>
        <v>28800</v>
      </c>
      <c r="Q110" s="28">
        <f>+'[1]EGR SEPTIEMBRE 2024'!$Q$78</f>
        <v>924.54</v>
      </c>
      <c r="R110" s="28">
        <f t="shared" si="13"/>
        <v>27875.46</v>
      </c>
      <c r="S110" s="88">
        <f t="shared" si="11"/>
        <v>1.5392713739228211E-4</v>
      </c>
    </row>
    <row r="111" spans="1:19" ht="15.95" customHeight="1" x14ac:dyDescent="0.25">
      <c r="A111" s="41" t="s">
        <v>139</v>
      </c>
      <c r="B111" s="29" t="s">
        <v>73</v>
      </c>
      <c r="C111" s="28">
        <v>1300000</v>
      </c>
      <c r="D111" s="28"/>
      <c r="E111" s="28"/>
      <c r="F111" s="44"/>
      <c r="G111" s="44"/>
      <c r="H111" s="28"/>
      <c r="I111" s="28"/>
      <c r="J111" s="44"/>
      <c r="K111" s="44"/>
      <c r="L111" s="44"/>
      <c r="M111" s="44"/>
      <c r="N111" s="90"/>
      <c r="O111" s="90"/>
      <c r="P111" s="28">
        <f t="shared" si="12"/>
        <v>1300000</v>
      </c>
      <c r="Q111" s="28">
        <f>+'[1]EGR SEPTIEMBRE 2024'!$Q$79</f>
        <v>1088331</v>
      </c>
      <c r="R111" s="28">
        <f t="shared" si="13"/>
        <v>211669</v>
      </c>
      <c r="S111" s="88">
        <f t="shared" si="11"/>
        <v>0.18119678474190387</v>
      </c>
    </row>
    <row r="112" spans="1:19" ht="15.95" customHeight="1" x14ac:dyDescent="0.25">
      <c r="A112" s="41">
        <v>286</v>
      </c>
      <c r="B112" s="29" t="s">
        <v>207</v>
      </c>
      <c r="C112" s="28">
        <v>1500</v>
      </c>
      <c r="D112" s="28"/>
      <c r="E112" s="28"/>
      <c r="F112" s="44"/>
      <c r="G112" s="44"/>
      <c r="H112" s="28">
        <v>3000</v>
      </c>
      <c r="I112" s="28"/>
      <c r="J112" s="44"/>
      <c r="K112" s="44"/>
      <c r="L112" s="44"/>
      <c r="M112" s="44"/>
      <c r="N112" s="90"/>
      <c r="O112" s="90"/>
      <c r="P112" s="28">
        <f t="shared" si="12"/>
        <v>4500</v>
      </c>
      <c r="Q112" s="28">
        <f>+'[1]EGR SEPTIEMBRE 2024'!$Q$80</f>
        <v>216</v>
      </c>
      <c r="R112" s="28">
        <f t="shared" si="13"/>
        <v>4284</v>
      </c>
      <c r="S112" s="88">
        <f t="shared" si="11"/>
        <v>3.5961950458317583E-5</v>
      </c>
    </row>
    <row r="113" spans="1:19" ht="15.95" hidden="1" customHeight="1" x14ac:dyDescent="0.25">
      <c r="A113" s="41">
        <v>289</v>
      </c>
      <c r="B113" s="29" t="s">
        <v>208</v>
      </c>
      <c r="C113" s="28">
        <v>0</v>
      </c>
      <c r="D113" s="28"/>
      <c r="E113" s="28"/>
      <c r="F113" s="44"/>
      <c r="G113" s="44"/>
      <c r="H113" s="28"/>
      <c r="I113" s="28"/>
      <c r="J113" s="44"/>
      <c r="K113" s="44"/>
      <c r="L113" s="44"/>
      <c r="M113" s="44"/>
      <c r="N113" s="90"/>
      <c r="O113" s="90"/>
      <c r="P113" s="28">
        <f t="shared" si="12"/>
        <v>0</v>
      </c>
      <c r="Q113" s="28"/>
      <c r="R113" s="28">
        <f t="shared" si="13"/>
        <v>0</v>
      </c>
      <c r="S113" s="88">
        <f t="shared" si="11"/>
        <v>0</v>
      </c>
    </row>
    <row r="114" spans="1:19" ht="15.95" customHeight="1" x14ac:dyDescent="0.25">
      <c r="A114" s="41" t="s">
        <v>140</v>
      </c>
      <c r="B114" s="29" t="s">
        <v>74</v>
      </c>
      <c r="C114" s="28">
        <v>6600</v>
      </c>
      <c r="D114" s="28"/>
      <c r="E114" s="28"/>
      <c r="F114" s="44"/>
      <c r="G114" s="44"/>
      <c r="H114" s="28"/>
      <c r="I114" s="28"/>
      <c r="J114" s="44"/>
      <c r="K114" s="44"/>
      <c r="L114" s="44"/>
      <c r="M114" s="44"/>
      <c r="N114" s="90"/>
      <c r="O114" s="90"/>
      <c r="P114" s="28">
        <f t="shared" si="12"/>
        <v>6600</v>
      </c>
      <c r="Q114" s="28">
        <f>+'[1]EGR SEPTIEMBRE 2024'!$Q$82</f>
        <v>3288.88</v>
      </c>
      <c r="R114" s="28">
        <f t="shared" si="13"/>
        <v>3311.12</v>
      </c>
      <c r="S114" s="88">
        <f t="shared" si="11"/>
        <v>5.4756731307107189E-4</v>
      </c>
    </row>
    <row r="115" spans="1:19" ht="15.95" customHeight="1" x14ac:dyDescent="0.25">
      <c r="A115" s="41" t="s">
        <v>141</v>
      </c>
      <c r="B115" s="29" t="s">
        <v>209</v>
      </c>
      <c r="C115" s="28">
        <v>4000</v>
      </c>
      <c r="D115" s="28"/>
      <c r="E115" s="28"/>
      <c r="F115" s="44"/>
      <c r="G115" s="44"/>
      <c r="H115" s="28"/>
      <c r="I115" s="28"/>
      <c r="J115" s="44"/>
      <c r="K115" s="44"/>
      <c r="L115" s="44"/>
      <c r="M115" s="44"/>
      <c r="N115" s="90"/>
      <c r="O115" s="90"/>
      <c r="P115" s="28">
        <f t="shared" si="12"/>
        <v>4000</v>
      </c>
      <c r="Q115" s="28">
        <f>+'[1]EGR SEPTIEMBRE 2024'!$Q$83</f>
        <v>1549.39</v>
      </c>
      <c r="R115" s="28">
        <f t="shared" si="13"/>
        <v>2450.6099999999997</v>
      </c>
      <c r="S115" s="88">
        <f t="shared" si="11"/>
        <v>2.5795873342876241E-4</v>
      </c>
    </row>
    <row r="116" spans="1:19" ht="15.95" customHeight="1" x14ac:dyDescent="0.25">
      <c r="A116" s="41" t="s">
        <v>142</v>
      </c>
      <c r="B116" s="29" t="s">
        <v>75</v>
      </c>
      <c r="C116" s="28">
        <v>25251.9</v>
      </c>
      <c r="D116" s="28"/>
      <c r="E116" s="28"/>
      <c r="F116" s="44"/>
      <c r="G116" s="44"/>
      <c r="H116" s="28"/>
      <c r="I116" s="28"/>
      <c r="J116" s="44"/>
      <c r="K116" s="44"/>
      <c r="L116" s="44"/>
      <c r="M116" s="44"/>
      <c r="N116" s="90"/>
      <c r="O116" s="90"/>
      <c r="P116" s="28">
        <f t="shared" si="12"/>
        <v>25251.9</v>
      </c>
      <c r="Q116" s="28">
        <f>+'[1]EGR SEPTIEMBRE 2024'!$Q$84</f>
        <v>21295.07</v>
      </c>
      <c r="R116" s="28">
        <f t="shared" si="13"/>
        <v>3956.8300000000017</v>
      </c>
      <c r="S116" s="88">
        <f t="shared" si="11"/>
        <v>3.5454270941963194E-3</v>
      </c>
    </row>
    <row r="117" spans="1:19" ht="15.95" customHeight="1" x14ac:dyDescent="0.25">
      <c r="A117" s="41" t="s">
        <v>143</v>
      </c>
      <c r="B117" s="29" t="s">
        <v>76</v>
      </c>
      <c r="C117" s="28">
        <v>2000</v>
      </c>
      <c r="D117" s="28"/>
      <c r="E117" s="28"/>
      <c r="F117" s="44"/>
      <c r="G117" s="44"/>
      <c r="H117" s="28"/>
      <c r="I117" s="28"/>
      <c r="J117" s="44"/>
      <c r="K117" s="44"/>
      <c r="L117" s="44"/>
      <c r="M117" s="44"/>
      <c r="N117" s="90"/>
      <c r="O117" s="90"/>
      <c r="P117" s="28">
        <f t="shared" si="12"/>
        <v>2000</v>
      </c>
      <c r="Q117" s="28"/>
      <c r="R117" s="28">
        <f t="shared" si="13"/>
        <v>2000</v>
      </c>
      <c r="S117" s="88">
        <f t="shared" si="11"/>
        <v>0</v>
      </c>
    </row>
    <row r="118" spans="1:19" ht="31.5" customHeight="1" x14ac:dyDescent="0.25">
      <c r="A118" s="41" t="s">
        <v>144</v>
      </c>
      <c r="B118" s="100" t="s">
        <v>210</v>
      </c>
      <c r="C118" s="28">
        <v>9500</v>
      </c>
      <c r="D118" s="28"/>
      <c r="E118" s="28"/>
      <c r="F118" s="44"/>
      <c r="G118" s="44"/>
      <c r="H118" s="28">
        <v>20500</v>
      </c>
      <c r="I118" s="28"/>
      <c r="J118" s="44"/>
      <c r="K118" s="44"/>
      <c r="L118" s="44"/>
      <c r="M118" s="44"/>
      <c r="N118" s="90"/>
      <c r="O118" s="90"/>
      <c r="P118" s="28">
        <f t="shared" si="12"/>
        <v>30000</v>
      </c>
      <c r="Q118" s="28">
        <f>+'[1]EGR SEPTIEMBRE 2024'!$Q$86</f>
        <v>952.85</v>
      </c>
      <c r="R118" s="28">
        <f t="shared" si="13"/>
        <v>29047.15</v>
      </c>
      <c r="S118" s="88">
        <f t="shared" si="11"/>
        <v>1.5864048376948106E-4</v>
      </c>
    </row>
    <row r="119" spans="1:19" ht="15.95" customHeight="1" x14ac:dyDescent="0.25">
      <c r="A119" s="41" t="s">
        <v>145</v>
      </c>
      <c r="B119" s="29" t="s">
        <v>77</v>
      </c>
      <c r="C119" s="28">
        <v>76000</v>
      </c>
      <c r="D119" s="28"/>
      <c r="E119" s="28"/>
      <c r="F119" s="44"/>
      <c r="G119" s="44"/>
      <c r="H119" s="28">
        <v>75000</v>
      </c>
      <c r="I119" s="28"/>
      <c r="J119" s="44">
        <v>49000</v>
      </c>
      <c r="K119" s="44"/>
      <c r="L119" s="44"/>
      <c r="M119" s="44"/>
      <c r="N119" s="90"/>
      <c r="O119" s="90"/>
      <c r="P119" s="28">
        <f t="shared" si="12"/>
        <v>200000</v>
      </c>
      <c r="Q119" s="28">
        <f>+'[1]EGR SEPTIEMBRE 2024'!$Q$87</f>
        <v>21518.49</v>
      </c>
      <c r="R119" s="28">
        <f t="shared" si="13"/>
        <v>178481.51</v>
      </c>
      <c r="S119" s="88">
        <f t="shared" si="11"/>
        <v>3.5826244042490851E-3</v>
      </c>
    </row>
    <row r="120" spans="1:19" ht="15.95" customHeight="1" x14ac:dyDescent="0.25">
      <c r="A120" s="41" t="s">
        <v>146</v>
      </c>
      <c r="B120" s="29" t="s">
        <v>78</v>
      </c>
      <c r="C120" s="28">
        <v>9500</v>
      </c>
      <c r="D120" s="28"/>
      <c r="E120" s="28"/>
      <c r="F120" s="44"/>
      <c r="G120" s="44"/>
      <c r="H120" s="28"/>
      <c r="I120" s="28"/>
      <c r="J120" s="44"/>
      <c r="K120" s="44"/>
      <c r="L120" s="44"/>
      <c r="M120" s="44"/>
      <c r="N120" s="90"/>
      <c r="O120" s="90"/>
      <c r="P120" s="28">
        <f t="shared" si="12"/>
        <v>9500</v>
      </c>
      <c r="Q120" s="28">
        <f>+'[1]EGR SEPTIEMBRE 2024'!$Q$88</f>
        <v>6390.96</v>
      </c>
      <c r="R120" s="28">
        <f t="shared" si="13"/>
        <v>3109.04</v>
      </c>
      <c r="S120" s="88">
        <f t="shared" si="11"/>
        <v>1.0640341986161543E-3</v>
      </c>
    </row>
    <row r="121" spans="1:19" ht="15.95" customHeight="1" x14ac:dyDescent="0.25">
      <c r="A121" s="41"/>
      <c r="B121" s="29"/>
      <c r="C121" s="28"/>
      <c r="D121" s="28"/>
      <c r="E121" s="28"/>
      <c r="F121" s="44"/>
      <c r="G121" s="44"/>
      <c r="H121" s="28"/>
      <c r="I121" s="28"/>
      <c r="J121" s="44"/>
      <c r="K121" s="44"/>
      <c r="L121" s="44"/>
      <c r="M121" s="44"/>
      <c r="N121" s="90"/>
      <c r="O121" s="90"/>
      <c r="P121" s="28">
        <f t="shared" si="12"/>
        <v>0</v>
      </c>
      <c r="Q121" s="28"/>
      <c r="R121" s="28"/>
      <c r="S121" s="88"/>
    </row>
    <row r="122" spans="1:19" ht="15.95" customHeight="1" x14ac:dyDescent="0.25">
      <c r="A122" s="41"/>
      <c r="B122" s="29"/>
      <c r="C122" s="28"/>
      <c r="D122" s="28"/>
      <c r="E122" s="28"/>
      <c r="F122" s="44"/>
      <c r="G122" s="44"/>
      <c r="H122" s="28"/>
      <c r="I122" s="28"/>
      <c r="J122" s="44"/>
      <c r="K122" s="44"/>
      <c r="L122" s="44"/>
      <c r="M122" s="44"/>
      <c r="N122" s="90"/>
      <c r="O122" s="90"/>
      <c r="P122" s="28">
        <f t="shared" si="12"/>
        <v>0</v>
      </c>
      <c r="Q122" s="28"/>
      <c r="R122" s="28"/>
      <c r="S122" s="88"/>
    </row>
    <row r="123" spans="1:19" ht="15.95" customHeight="1" x14ac:dyDescent="0.25">
      <c r="A123" s="41"/>
      <c r="B123" s="29"/>
      <c r="C123" s="28"/>
      <c r="D123" s="28"/>
      <c r="E123" s="28"/>
      <c r="F123" s="44"/>
      <c r="G123" s="44"/>
      <c r="H123" s="28"/>
      <c r="I123" s="28"/>
      <c r="J123" s="44"/>
      <c r="K123" s="44"/>
      <c r="L123" s="44"/>
      <c r="M123" s="44"/>
      <c r="N123" s="90"/>
      <c r="O123" s="90"/>
      <c r="P123" s="28">
        <f t="shared" si="12"/>
        <v>0</v>
      </c>
      <c r="Q123" s="28"/>
      <c r="R123" s="28"/>
      <c r="S123" s="88"/>
    </row>
    <row r="124" spans="1:19" ht="15.95" customHeight="1" x14ac:dyDescent="0.25">
      <c r="A124" s="39">
        <v>3</v>
      </c>
      <c r="B124" s="40" t="s">
        <v>79</v>
      </c>
      <c r="C124" s="26"/>
      <c r="D124" s="28"/>
      <c r="E124" s="28"/>
      <c r="F124" s="44"/>
      <c r="G124" s="44"/>
      <c r="H124" s="28"/>
      <c r="I124" s="28"/>
      <c r="J124" s="44"/>
      <c r="K124" s="44"/>
      <c r="L124" s="44"/>
      <c r="M124" s="44"/>
      <c r="N124" s="90"/>
      <c r="O124" s="90"/>
      <c r="P124" s="28">
        <f t="shared" si="12"/>
        <v>0</v>
      </c>
      <c r="Q124" s="28"/>
      <c r="R124" s="28"/>
      <c r="S124" s="88"/>
    </row>
    <row r="125" spans="1:19" ht="15.95" customHeight="1" x14ac:dyDescent="0.25">
      <c r="A125" s="42" t="s">
        <v>211</v>
      </c>
      <c r="B125" s="43" t="s">
        <v>212</v>
      </c>
      <c r="C125" s="44">
        <v>10000</v>
      </c>
      <c r="D125" s="28"/>
      <c r="E125" s="28"/>
      <c r="F125" s="44"/>
      <c r="G125" s="44"/>
      <c r="H125" s="28"/>
      <c r="I125" s="28"/>
      <c r="J125" s="44"/>
      <c r="K125" s="44"/>
      <c r="L125" s="44"/>
      <c r="M125" s="44"/>
      <c r="N125" s="90"/>
      <c r="O125" s="90"/>
      <c r="P125" s="28">
        <f t="shared" si="12"/>
        <v>10000</v>
      </c>
      <c r="Q125" s="28"/>
      <c r="R125" s="28">
        <f t="shared" si="13"/>
        <v>10000</v>
      </c>
      <c r="S125" s="88">
        <f>Q125/$Q$144</f>
        <v>0</v>
      </c>
    </row>
    <row r="126" spans="1:19" ht="15.95" hidden="1" customHeight="1" x14ac:dyDescent="0.25">
      <c r="A126" s="42" t="s">
        <v>80</v>
      </c>
      <c r="B126" s="43" t="s">
        <v>213</v>
      </c>
      <c r="C126" s="44">
        <v>0</v>
      </c>
      <c r="D126" s="28"/>
      <c r="E126" s="28"/>
      <c r="F126" s="44"/>
      <c r="G126" s="44"/>
      <c r="H126" s="28"/>
      <c r="I126" s="28"/>
      <c r="J126" s="44"/>
      <c r="K126" s="44"/>
      <c r="L126" s="44"/>
      <c r="M126" s="44"/>
      <c r="N126" s="90"/>
      <c r="O126" s="90"/>
      <c r="P126" s="28">
        <f t="shared" si="12"/>
        <v>0</v>
      </c>
      <c r="Q126" s="28"/>
      <c r="R126" s="28">
        <f t="shared" si="13"/>
        <v>0</v>
      </c>
      <c r="S126" s="88">
        <f>Q126/$Q$144</f>
        <v>0</v>
      </c>
    </row>
    <row r="127" spans="1:19" ht="15.95" customHeight="1" x14ac:dyDescent="0.25">
      <c r="A127" s="42" t="s">
        <v>214</v>
      </c>
      <c r="B127" s="43" t="s">
        <v>215</v>
      </c>
      <c r="C127" s="44">
        <v>304035</v>
      </c>
      <c r="D127" s="28"/>
      <c r="E127" s="28"/>
      <c r="F127" s="44"/>
      <c r="G127" s="44"/>
      <c r="H127" s="28"/>
      <c r="I127" s="28"/>
      <c r="J127" s="44"/>
      <c r="K127" s="44"/>
      <c r="L127" s="44"/>
      <c r="M127" s="44"/>
      <c r="N127" s="90"/>
      <c r="O127" s="90"/>
      <c r="P127" s="28">
        <f t="shared" ref="P127:P143" si="14">+C127+D127-E127+F127-G127+H127-I127+J127-K127+L127-M127+N127-O127</f>
        <v>304035</v>
      </c>
      <c r="Q127" s="28"/>
      <c r="R127" s="28">
        <f t="shared" si="13"/>
        <v>304035</v>
      </c>
      <c r="S127" s="88">
        <f>Q127/$Q$144</f>
        <v>0</v>
      </c>
    </row>
    <row r="128" spans="1:19" ht="15.95" customHeight="1" x14ac:dyDescent="0.25">
      <c r="A128" s="42">
        <v>325</v>
      </c>
      <c r="B128" s="43" t="s">
        <v>268</v>
      </c>
      <c r="C128" s="44"/>
      <c r="D128" s="28"/>
      <c r="E128" s="28"/>
      <c r="F128" s="44"/>
      <c r="G128" s="44"/>
      <c r="H128" s="28">
        <v>25000</v>
      </c>
      <c r="I128" s="28"/>
      <c r="J128" s="44"/>
      <c r="K128" s="44"/>
      <c r="L128" s="44"/>
      <c r="M128" s="44"/>
      <c r="N128" s="90"/>
      <c r="O128" s="90"/>
      <c r="P128" s="28">
        <f t="shared" si="14"/>
        <v>25000</v>
      </c>
      <c r="Q128" s="28">
        <f>+'[1]EGR SEPTIEMBRE 2024'!$Q$92</f>
        <v>11490</v>
      </c>
      <c r="R128" s="28">
        <f t="shared" si="13"/>
        <v>13510</v>
      </c>
      <c r="S128" s="88">
        <f>Q128/$Q$144</f>
        <v>1.912975975768838E-3</v>
      </c>
    </row>
    <row r="129" spans="1:19" ht="15.95" customHeight="1" x14ac:dyDescent="0.25">
      <c r="A129" s="42" t="s">
        <v>216</v>
      </c>
      <c r="B129" s="43" t="s">
        <v>217</v>
      </c>
      <c r="C129" s="44">
        <v>1500</v>
      </c>
      <c r="D129" s="28"/>
      <c r="E129" s="28"/>
      <c r="F129" s="44"/>
      <c r="G129" s="44"/>
      <c r="H129" s="28"/>
      <c r="I129" s="28"/>
      <c r="J129" s="44"/>
      <c r="K129" s="44"/>
      <c r="L129" s="44"/>
      <c r="M129" s="44"/>
      <c r="N129" s="90"/>
      <c r="O129" s="90"/>
      <c r="P129" s="28">
        <f t="shared" si="14"/>
        <v>1500</v>
      </c>
      <c r="Q129" s="28">
        <f>+'[1]EGR SEPTIEMBRE 2024'!$Q$93</f>
        <v>1060.02</v>
      </c>
      <c r="R129" s="28">
        <f t="shared" si="13"/>
        <v>439.98</v>
      </c>
      <c r="S129" s="88">
        <f>Q129/$Q$144</f>
        <v>1.7648327187419355E-4</v>
      </c>
    </row>
    <row r="130" spans="1:19" ht="15.95" customHeight="1" x14ac:dyDescent="0.25">
      <c r="A130" s="42">
        <v>328</v>
      </c>
      <c r="B130" s="43" t="s">
        <v>234</v>
      </c>
      <c r="C130" s="44">
        <v>40000</v>
      </c>
      <c r="D130" s="28"/>
      <c r="E130" s="28"/>
      <c r="F130" s="44"/>
      <c r="G130" s="44"/>
      <c r="H130" s="28"/>
      <c r="I130" s="28"/>
      <c r="J130" s="44"/>
      <c r="K130" s="44"/>
      <c r="L130" s="44"/>
      <c r="M130" s="44"/>
      <c r="N130" s="90"/>
      <c r="O130" s="90"/>
      <c r="P130" s="28">
        <f t="shared" si="14"/>
        <v>40000</v>
      </c>
      <c r="Q130" s="28">
        <f>+'[1]EGR SEPTIEMBRE 2024'!$Q$94</f>
        <v>4670</v>
      </c>
      <c r="R130" s="28">
        <f t="shared" si="13"/>
        <v>35330</v>
      </c>
      <c r="S130" s="88">
        <f>+Q130/Q144</f>
        <v>7.7751068814973666E-4</v>
      </c>
    </row>
    <row r="131" spans="1:19" ht="15.95" customHeight="1" x14ac:dyDescent="0.25">
      <c r="A131" s="42" t="s">
        <v>218</v>
      </c>
      <c r="B131" s="43" t="s">
        <v>219</v>
      </c>
      <c r="C131" s="44">
        <v>14300</v>
      </c>
      <c r="D131" s="28"/>
      <c r="E131" s="28"/>
      <c r="F131" s="44"/>
      <c r="G131" s="44"/>
      <c r="H131" s="28"/>
      <c r="I131" s="28"/>
      <c r="J131" s="44"/>
      <c r="K131" s="44"/>
      <c r="L131" s="44"/>
      <c r="M131" s="44"/>
      <c r="N131" s="90"/>
      <c r="O131" s="90"/>
      <c r="P131" s="28">
        <f t="shared" si="14"/>
        <v>14300</v>
      </c>
      <c r="Q131" s="28"/>
      <c r="R131" s="28">
        <f t="shared" si="13"/>
        <v>14300</v>
      </c>
      <c r="S131" s="88">
        <f>Q131/$Q$144</f>
        <v>0</v>
      </c>
    </row>
    <row r="132" spans="1:19" ht="15.95" hidden="1" customHeight="1" x14ac:dyDescent="0.25">
      <c r="A132" s="42" t="s">
        <v>220</v>
      </c>
      <c r="B132" s="43" t="s">
        <v>221</v>
      </c>
      <c r="C132" s="44">
        <v>0</v>
      </c>
      <c r="D132" s="28"/>
      <c r="E132" s="28"/>
      <c r="F132" s="44"/>
      <c r="G132" s="44"/>
      <c r="H132" s="28"/>
      <c r="I132" s="28"/>
      <c r="J132" s="44"/>
      <c r="K132" s="44"/>
      <c r="L132" s="44"/>
      <c r="M132" s="44"/>
      <c r="N132" s="90"/>
      <c r="O132" s="90"/>
      <c r="P132" s="28">
        <f t="shared" si="14"/>
        <v>0</v>
      </c>
      <c r="Q132" s="28"/>
      <c r="R132" s="28">
        <f t="shared" si="13"/>
        <v>0</v>
      </c>
      <c r="S132" s="88">
        <f>Q132/$Q$144</f>
        <v>0</v>
      </c>
    </row>
    <row r="133" spans="1:19" ht="15.95" customHeight="1" x14ac:dyDescent="0.25">
      <c r="A133" s="42"/>
      <c r="B133" s="43"/>
      <c r="C133" s="44"/>
      <c r="D133" s="28"/>
      <c r="E133" s="28"/>
      <c r="F133" s="44"/>
      <c r="G133" s="44"/>
      <c r="H133" s="28"/>
      <c r="I133" s="28"/>
      <c r="J133" s="44"/>
      <c r="K133" s="44"/>
      <c r="L133" s="44"/>
      <c r="M133" s="44"/>
      <c r="N133" s="90"/>
      <c r="O133" s="90"/>
      <c r="P133" s="28">
        <f t="shared" si="14"/>
        <v>0</v>
      </c>
      <c r="Q133" s="28"/>
      <c r="R133" s="28"/>
      <c r="S133" s="88"/>
    </row>
    <row r="134" spans="1:19" ht="15.95" customHeight="1" x14ac:dyDescent="0.25">
      <c r="A134" s="41"/>
      <c r="B134" s="29"/>
      <c r="C134" s="28"/>
      <c r="D134" s="28"/>
      <c r="E134" s="28"/>
      <c r="F134" s="44"/>
      <c r="G134" s="44"/>
      <c r="H134" s="28"/>
      <c r="I134" s="28"/>
      <c r="J134" s="44"/>
      <c r="K134" s="44"/>
      <c r="L134" s="44"/>
      <c r="M134" s="44"/>
      <c r="N134" s="90"/>
      <c r="O134" s="90"/>
      <c r="P134" s="28">
        <f t="shared" si="14"/>
        <v>0</v>
      </c>
      <c r="Q134" s="28"/>
      <c r="R134" s="28"/>
      <c r="S134" s="88"/>
    </row>
    <row r="135" spans="1:19" ht="15.95" customHeight="1" x14ac:dyDescent="0.25">
      <c r="A135" s="39">
        <v>4</v>
      </c>
      <c r="B135" s="40" t="s">
        <v>81</v>
      </c>
      <c r="C135" s="26"/>
      <c r="D135" s="28"/>
      <c r="E135" s="28"/>
      <c r="F135" s="44"/>
      <c r="G135" s="44"/>
      <c r="H135" s="28"/>
      <c r="I135" s="28"/>
      <c r="J135" s="44"/>
      <c r="K135" s="44"/>
      <c r="L135" s="44"/>
      <c r="M135" s="44"/>
      <c r="N135" s="90"/>
      <c r="O135" s="90"/>
      <c r="P135" s="28">
        <f t="shared" si="14"/>
        <v>0</v>
      </c>
      <c r="Q135" s="28"/>
      <c r="R135" s="28"/>
      <c r="S135" s="88"/>
    </row>
    <row r="136" spans="1:19" ht="15.95" customHeight="1" x14ac:dyDescent="0.25">
      <c r="A136" s="41" t="s">
        <v>222</v>
      </c>
      <c r="B136" s="29" t="s">
        <v>82</v>
      </c>
      <c r="C136" s="28">
        <v>185900</v>
      </c>
      <c r="D136" s="28"/>
      <c r="E136" s="28"/>
      <c r="F136" s="44"/>
      <c r="G136" s="44"/>
      <c r="H136" s="28"/>
      <c r="I136" s="28"/>
      <c r="J136" s="44"/>
      <c r="K136" s="44"/>
      <c r="L136" s="44"/>
      <c r="M136" s="44"/>
      <c r="N136" s="98"/>
      <c r="O136" s="98"/>
      <c r="P136" s="28">
        <f t="shared" si="14"/>
        <v>185900</v>
      </c>
      <c r="Q136" s="28">
        <f>+'[1]EGR SEPTIEMBRE 2024'!$Q$97</f>
        <v>41784.97</v>
      </c>
      <c r="R136" s="28">
        <f t="shared" si="13"/>
        <v>144115.03</v>
      </c>
      <c r="S136" s="88">
        <f>Q136/$Q$144</f>
        <v>6.9568010233439191E-3</v>
      </c>
    </row>
    <row r="137" spans="1:19" ht="15.95" customHeight="1" x14ac:dyDescent="0.25">
      <c r="A137" s="41" t="s">
        <v>223</v>
      </c>
      <c r="B137" s="29" t="s">
        <v>224</v>
      </c>
      <c r="C137" s="28">
        <v>7170</v>
      </c>
      <c r="D137" s="28"/>
      <c r="E137" s="28"/>
      <c r="F137" s="28"/>
      <c r="G137" s="28"/>
      <c r="H137" s="28"/>
      <c r="I137" s="28"/>
      <c r="J137" s="44"/>
      <c r="K137" s="44"/>
      <c r="L137" s="44"/>
      <c r="M137" s="44"/>
      <c r="N137" s="98"/>
      <c r="O137" s="98"/>
      <c r="P137" s="28">
        <f t="shared" si="14"/>
        <v>7170</v>
      </c>
      <c r="Q137" s="28">
        <f>+'[1]EGR SEPTIEMBRE 2024'!$Q$98</f>
        <v>8025</v>
      </c>
      <c r="R137" s="28">
        <f t="shared" si="13"/>
        <v>-855</v>
      </c>
      <c r="S137" s="88">
        <f>Q137/$Q$144</f>
        <v>1.336086353833327E-3</v>
      </c>
    </row>
    <row r="138" spans="1:19" ht="15.95" customHeight="1" x14ac:dyDescent="0.25">
      <c r="A138" s="41" t="s">
        <v>225</v>
      </c>
      <c r="B138" s="29" t="s">
        <v>226</v>
      </c>
      <c r="C138" s="28">
        <v>70000</v>
      </c>
      <c r="D138" s="28"/>
      <c r="E138" s="28"/>
      <c r="F138" s="28"/>
      <c r="G138" s="28"/>
      <c r="H138" s="28"/>
      <c r="I138" s="28"/>
      <c r="J138" s="44"/>
      <c r="K138" s="44"/>
      <c r="L138" s="44"/>
      <c r="M138" s="44"/>
      <c r="N138" s="95"/>
      <c r="O138" s="95"/>
      <c r="P138" s="28">
        <f t="shared" si="14"/>
        <v>70000</v>
      </c>
      <c r="Q138" s="28">
        <f>+'[1]EGR SEPTIEMBRE 2024'!$Q$99</f>
        <v>2000</v>
      </c>
      <c r="R138" s="28">
        <f t="shared" si="13"/>
        <v>68000</v>
      </c>
      <c r="S138" s="88">
        <f>Q138/$Q$144</f>
        <v>3.3298102276219983E-4</v>
      </c>
    </row>
    <row r="139" spans="1:19" ht="15.95" customHeight="1" x14ac:dyDescent="0.25">
      <c r="A139" s="41">
        <v>453</v>
      </c>
      <c r="B139" s="29" t="s">
        <v>264</v>
      </c>
      <c r="C139" s="28">
        <v>0</v>
      </c>
      <c r="D139" s="28"/>
      <c r="E139" s="28"/>
      <c r="F139" s="28">
        <v>120000</v>
      </c>
      <c r="G139" s="28"/>
      <c r="H139" s="28"/>
      <c r="I139" s="28"/>
      <c r="J139" s="44"/>
      <c r="K139" s="44"/>
      <c r="L139" s="44"/>
      <c r="M139" s="44"/>
      <c r="N139" s="90"/>
      <c r="O139" s="90"/>
      <c r="P139" s="28">
        <f t="shared" si="14"/>
        <v>120000</v>
      </c>
      <c r="Q139" s="28">
        <f>+'[1]EGR SEPTIEMBRE 2024'!$Q$100</f>
        <v>118168.58</v>
      </c>
      <c r="R139" s="28">
        <f t="shared" si="13"/>
        <v>1831.4199999999983</v>
      </c>
      <c r="S139" s="88"/>
    </row>
    <row r="140" spans="1:19" ht="15.95" customHeight="1" x14ac:dyDescent="0.25">
      <c r="A140" s="41" t="s">
        <v>227</v>
      </c>
      <c r="B140" s="29" t="s">
        <v>228</v>
      </c>
      <c r="C140" s="28">
        <v>8750</v>
      </c>
      <c r="D140" s="28"/>
      <c r="E140" s="28"/>
      <c r="F140" s="28"/>
      <c r="G140" s="28"/>
      <c r="H140" s="28"/>
      <c r="I140" s="28"/>
      <c r="J140" s="44"/>
      <c r="K140" s="44"/>
      <c r="L140" s="44"/>
      <c r="M140" s="44"/>
      <c r="N140" s="95"/>
      <c r="O140" s="95"/>
      <c r="P140" s="28">
        <f t="shared" si="14"/>
        <v>8750</v>
      </c>
      <c r="Q140" s="28">
        <f>+'[1]EGR SEPTIEMBRE 2024'!$Q$101</f>
        <v>1937.01</v>
      </c>
      <c r="R140" s="28">
        <f>P140-Q140</f>
        <v>6812.99</v>
      </c>
      <c r="S140" s="88">
        <f>Q140/$Q$144</f>
        <v>3.2249378545030438E-4</v>
      </c>
    </row>
    <row r="141" spans="1:19" ht="15.95" customHeight="1" x14ac:dyDescent="0.25">
      <c r="A141" s="41"/>
      <c r="B141" s="29"/>
      <c r="C141" s="28"/>
      <c r="D141" s="28"/>
      <c r="E141" s="28"/>
      <c r="F141" s="28"/>
      <c r="G141" s="28"/>
      <c r="H141" s="28"/>
      <c r="I141" s="28"/>
      <c r="J141" s="44"/>
      <c r="K141" s="44"/>
      <c r="L141" s="44"/>
      <c r="M141" s="44"/>
      <c r="N141" s="95"/>
      <c r="O141" s="95"/>
      <c r="P141" s="28">
        <f t="shared" si="14"/>
        <v>0</v>
      </c>
      <c r="Q141" s="28"/>
      <c r="R141" s="28"/>
      <c r="S141" s="88"/>
    </row>
    <row r="142" spans="1:19" ht="15.95" customHeight="1" x14ac:dyDescent="0.25">
      <c r="A142" s="39">
        <v>9</v>
      </c>
      <c r="B142" s="40" t="s">
        <v>278</v>
      </c>
      <c r="C142" s="28"/>
      <c r="D142" s="28"/>
      <c r="E142" s="28"/>
      <c r="F142" s="28"/>
      <c r="G142" s="28"/>
      <c r="H142" s="28"/>
      <c r="I142" s="28"/>
      <c r="J142" s="44"/>
      <c r="K142" s="44"/>
      <c r="L142" s="44"/>
      <c r="M142" s="44"/>
      <c r="N142" s="95"/>
      <c r="O142" s="95"/>
      <c r="P142" s="28">
        <f t="shared" si="14"/>
        <v>0</v>
      </c>
      <c r="Q142" s="28"/>
      <c r="R142" s="28"/>
      <c r="S142" s="88"/>
    </row>
    <row r="143" spans="1:19" ht="15.95" customHeight="1" thickBot="1" x14ac:dyDescent="0.3">
      <c r="A143" s="41">
        <v>913</v>
      </c>
      <c r="B143" s="29" t="s">
        <v>277</v>
      </c>
      <c r="C143" s="28"/>
      <c r="D143" s="28"/>
      <c r="E143" s="28"/>
      <c r="F143" s="44"/>
      <c r="G143" s="44"/>
      <c r="H143" s="28"/>
      <c r="I143" s="28"/>
      <c r="J143" s="44"/>
      <c r="K143" s="44"/>
      <c r="L143" s="44"/>
      <c r="M143" s="44"/>
      <c r="N143" s="95"/>
      <c r="O143" s="95"/>
      <c r="P143" s="28">
        <f t="shared" si="14"/>
        <v>0</v>
      </c>
      <c r="Q143" s="28"/>
      <c r="R143" s="28">
        <f>P143-Q143</f>
        <v>0</v>
      </c>
      <c r="S143" s="88">
        <f>Q143/$Q$144</f>
        <v>0</v>
      </c>
    </row>
    <row r="144" spans="1:19" ht="18" customHeight="1" thickBot="1" x14ac:dyDescent="0.3">
      <c r="A144" s="32"/>
      <c r="B144" s="33" t="s">
        <v>90</v>
      </c>
      <c r="C144" s="34">
        <f t="shared" ref="C144:R144" si="15">SUM(C31:C143)</f>
        <v>8258523.6200000001</v>
      </c>
      <c r="D144" s="34">
        <f t="shared" si="15"/>
        <v>0</v>
      </c>
      <c r="E144" s="34">
        <f t="shared" si="15"/>
        <v>0</v>
      </c>
      <c r="F144" s="34">
        <f t="shared" si="15"/>
        <v>584600</v>
      </c>
      <c r="G144" s="34">
        <f t="shared" si="15"/>
        <v>584600</v>
      </c>
      <c r="H144" s="34">
        <f t="shared" si="15"/>
        <v>2655496.71</v>
      </c>
      <c r="I144" s="34">
        <f t="shared" si="15"/>
        <v>0</v>
      </c>
      <c r="J144" s="64">
        <f t="shared" si="15"/>
        <v>137000</v>
      </c>
      <c r="K144" s="64">
        <f t="shared" si="15"/>
        <v>137000</v>
      </c>
      <c r="L144" s="64">
        <f t="shared" si="15"/>
        <v>110000</v>
      </c>
      <c r="M144" s="64">
        <f t="shared" si="15"/>
        <v>110000</v>
      </c>
      <c r="N144" s="93"/>
      <c r="O144" s="93"/>
      <c r="P144" s="34">
        <f t="shared" si="15"/>
        <v>10914020.33</v>
      </c>
      <c r="Q144" s="34">
        <f t="shared" si="15"/>
        <v>6006348.2999999989</v>
      </c>
      <c r="R144" s="34">
        <f t="shared" si="15"/>
        <v>4907672.0300000021</v>
      </c>
      <c r="S144" s="45">
        <v>1</v>
      </c>
    </row>
    <row r="145" spans="1:22" x14ac:dyDescent="0.2">
      <c r="A145" s="46"/>
      <c r="B145" s="75"/>
      <c r="C145" s="77"/>
      <c r="D145" s="76"/>
      <c r="E145" s="47"/>
      <c r="F145" s="47"/>
      <c r="G145" s="47"/>
      <c r="H145" s="47"/>
      <c r="I145" s="47"/>
      <c r="J145" s="65"/>
      <c r="K145" s="65"/>
      <c r="L145" s="65"/>
      <c r="M145" s="65"/>
      <c r="N145" s="65"/>
      <c r="O145" s="65"/>
      <c r="P145" s="47">
        <f>+P144-P26</f>
        <v>0</v>
      </c>
      <c r="Q145" s="47"/>
      <c r="R145" s="47"/>
      <c r="U145" s="65"/>
      <c r="V145" s="65"/>
    </row>
    <row r="146" spans="1:22" ht="15.75" thickBot="1" x14ac:dyDescent="0.25">
      <c r="E146" s="12"/>
      <c r="F146" s="4"/>
      <c r="P146" s="14"/>
      <c r="Q146" s="4"/>
      <c r="U146" s="66"/>
    </row>
    <row r="147" spans="1:22" ht="15.75" x14ac:dyDescent="0.25">
      <c r="A147" s="1" t="s">
        <v>83</v>
      </c>
      <c r="B147" s="2"/>
      <c r="C147" s="3"/>
      <c r="D147" s="4"/>
      <c r="E147" s="4"/>
      <c r="F147" s="4"/>
      <c r="G147" s="4"/>
      <c r="H147" s="4"/>
      <c r="I147" s="4"/>
      <c r="J147" s="66"/>
      <c r="K147" s="66"/>
      <c r="L147" s="66"/>
      <c r="M147" s="66"/>
      <c r="N147" s="66"/>
      <c r="O147" s="66"/>
      <c r="P147" s="4"/>
      <c r="Q147" s="4"/>
      <c r="U147" s="66"/>
      <c r="V147" s="66"/>
    </row>
    <row r="148" spans="1:22" ht="15.75" x14ac:dyDescent="0.25">
      <c r="A148" s="5" t="s">
        <v>2</v>
      </c>
      <c r="B148" s="6"/>
      <c r="C148" s="7"/>
      <c r="D148" s="4"/>
      <c r="E148" s="4"/>
      <c r="F148" s="4"/>
      <c r="G148" s="4"/>
      <c r="H148" s="4"/>
      <c r="I148" s="4"/>
      <c r="J148" s="66"/>
      <c r="K148" s="66"/>
      <c r="L148" s="66"/>
      <c r="M148" s="66"/>
      <c r="N148" s="66"/>
      <c r="O148" s="66"/>
      <c r="P148" s="4"/>
      <c r="Q148" s="4"/>
      <c r="U148" s="66"/>
      <c r="V148" s="66"/>
    </row>
    <row r="149" spans="1:22" ht="5.0999999999999996" customHeight="1" thickBot="1" x14ac:dyDescent="0.25">
      <c r="A149" s="8"/>
      <c r="B149" s="9"/>
      <c r="C149" s="10"/>
      <c r="D149" s="4"/>
      <c r="E149" s="4"/>
      <c r="F149" s="4"/>
      <c r="G149" s="4"/>
      <c r="H149" s="4"/>
      <c r="I149" s="4"/>
      <c r="J149" s="66"/>
      <c r="K149" s="66"/>
      <c r="L149" s="66"/>
      <c r="M149" s="66"/>
      <c r="N149" s="66"/>
      <c r="O149" s="66"/>
      <c r="P149" s="4"/>
      <c r="Q149" s="4"/>
      <c r="U149" s="66"/>
      <c r="V149" s="66"/>
    </row>
    <row r="150" spans="1:22" ht="6.95" customHeight="1" x14ac:dyDescent="0.2">
      <c r="A150" s="48"/>
      <c r="B150" s="49"/>
      <c r="C150" s="50"/>
      <c r="D150" s="4"/>
      <c r="E150" s="4"/>
      <c r="F150" s="4"/>
      <c r="G150" s="4"/>
      <c r="H150" s="4"/>
      <c r="I150" s="4"/>
      <c r="J150" s="66"/>
      <c r="K150" s="66"/>
      <c r="L150" s="66"/>
      <c r="M150" s="66"/>
      <c r="N150" s="66"/>
      <c r="O150" s="66"/>
      <c r="P150" s="4"/>
      <c r="Q150" s="4"/>
      <c r="U150" s="66"/>
      <c r="V150" s="66"/>
    </row>
    <row r="151" spans="1:22" x14ac:dyDescent="0.2">
      <c r="A151" s="51" t="s">
        <v>84</v>
      </c>
      <c r="B151" s="52"/>
      <c r="C151" s="53"/>
      <c r="D151" s="4"/>
      <c r="E151" s="4"/>
      <c r="F151" s="4"/>
      <c r="G151" s="4"/>
      <c r="H151" s="4"/>
      <c r="I151" s="4"/>
      <c r="J151" s="66"/>
      <c r="K151" s="66"/>
      <c r="L151" s="66"/>
      <c r="M151" s="66"/>
      <c r="N151" s="66"/>
      <c r="O151" s="66"/>
      <c r="P151" s="4"/>
      <c r="U151" s="66"/>
      <c r="V151" s="66"/>
    </row>
    <row r="152" spans="1:22" x14ac:dyDescent="0.2">
      <c r="A152" s="54" t="s">
        <v>257</v>
      </c>
      <c r="B152" s="52"/>
      <c r="C152" s="69">
        <v>1808838.07</v>
      </c>
      <c r="D152" s="47"/>
      <c r="E152" s="4"/>
      <c r="F152" s="4"/>
      <c r="G152" s="4"/>
      <c r="H152" s="4"/>
      <c r="I152" s="4"/>
      <c r="J152" s="66"/>
      <c r="K152" s="66"/>
      <c r="L152" s="66"/>
      <c r="M152" s="66"/>
      <c r="N152" s="66"/>
      <c r="O152" s="66"/>
      <c r="P152" s="4"/>
      <c r="U152" s="66"/>
      <c r="V152" s="66"/>
    </row>
    <row r="153" spans="1:22" x14ac:dyDescent="0.2">
      <c r="A153" s="54" t="s">
        <v>258</v>
      </c>
      <c r="B153" s="52"/>
      <c r="C153" s="69">
        <v>-22528.77</v>
      </c>
      <c r="D153" s="47"/>
      <c r="E153" s="4"/>
      <c r="F153" s="4"/>
      <c r="G153" s="4"/>
      <c r="H153" s="4"/>
      <c r="I153" s="4"/>
      <c r="J153" s="66"/>
      <c r="K153" s="66"/>
      <c r="L153" s="66"/>
      <c r="M153" s="66"/>
      <c r="N153" s="66"/>
      <c r="O153" s="66"/>
      <c r="P153" s="4"/>
      <c r="U153" s="66"/>
      <c r="V153" s="66"/>
    </row>
    <row r="154" spans="1:22" x14ac:dyDescent="0.2">
      <c r="A154" s="54" t="s">
        <v>249</v>
      </c>
      <c r="B154" s="52"/>
      <c r="C154" s="69"/>
      <c r="D154" s="47"/>
      <c r="E154" s="4"/>
      <c r="F154" s="4"/>
      <c r="G154" s="4"/>
      <c r="H154" s="4"/>
      <c r="I154" s="4"/>
      <c r="J154" s="66"/>
      <c r="K154" s="66"/>
      <c r="L154" s="66"/>
      <c r="M154" s="66"/>
      <c r="N154" s="66"/>
      <c r="O154" s="66"/>
      <c r="P154" s="4"/>
      <c r="U154" s="66"/>
      <c r="V154" s="66"/>
    </row>
    <row r="155" spans="1:22" x14ac:dyDescent="0.2">
      <c r="A155" s="54" t="s">
        <v>239</v>
      </c>
      <c r="B155" s="52"/>
      <c r="C155" s="69"/>
      <c r="D155" s="47"/>
      <c r="E155" s="4"/>
      <c r="F155" s="4"/>
      <c r="G155" s="4"/>
      <c r="H155" s="4"/>
      <c r="I155" s="4"/>
      <c r="J155" s="66"/>
      <c r="K155" s="66"/>
      <c r="L155" s="66"/>
      <c r="M155" s="66"/>
      <c r="N155" s="66"/>
      <c r="O155" s="66"/>
      <c r="P155" s="4"/>
      <c r="U155" s="66"/>
      <c r="V155" s="66"/>
    </row>
    <row r="156" spans="1:22" x14ac:dyDescent="0.2">
      <c r="A156" s="54" t="s">
        <v>259</v>
      </c>
      <c r="B156" s="52"/>
      <c r="C156" s="69">
        <f>1174639.32+309594.02-600</f>
        <v>1483633.34</v>
      </c>
      <c r="D156" s="47"/>
      <c r="E156" s="4"/>
      <c r="F156" s="4"/>
      <c r="G156" s="4"/>
      <c r="H156" s="4"/>
      <c r="I156" s="4"/>
      <c r="J156" s="66"/>
      <c r="K156" s="66"/>
      <c r="L156" s="66"/>
      <c r="M156" s="66"/>
      <c r="N156" s="66"/>
      <c r="O156" s="66"/>
      <c r="P156" s="4"/>
      <c r="U156" s="66"/>
      <c r="V156" s="66"/>
    </row>
    <row r="157" spans="1:22" x14ac:dyDescent="0.2">
      <c r="A157" s="54" t="s">
        <v>85</v>
      </c>
      <c r="B157" s="52"/>
      <c r="C157" s="69">
        <f>Q26</f>
        <v>6447690.1999999993</v>
      </c>
      <c r="D157" s="47"/>
      <c r="E157" s="4"/>
      <c r="F157" s="4"/>
      <c r="G157" s="4"/>
      <c r="H157" s="4"/>
      <c r="I157" s="4"/>
      <c r="J157" s="66"/>
      <c r="K157" s="66"/>
      <c r="L157" s="66"/>
      <c r="M157" s="66"/>
      <c r="N157" s="66"/>
      <c r="O157" s="66"/>
      <c r="P157" s="4"/>
      <c r="U157" s="66"/>
      <c r="V157" s="66"/>
    </row>
    <row r="158" spans="1:22" x14ac:dyDescent="0.2">
      <c r="A158" s="54" t="s">
        <v>86</v>
      </c>
      <c r="B158" s="52"/>
      <c r="C158" s="70">
        <f>-Q144</f>
        <v>-6006348.2999999989</v>
      </c>
      <c r="D158" s="4"/>
      <c r="E158" s="4"/>
      <c r="F158" s="4"/>
      <c r="G158" s="4"/>
      <c r="H158" s="4"/>
      <c r="I158" s="4"/>
      <c r="J158" s="66"/>
      <c r="K158" s="66"/>
      <c r="L158" s="66"/>
      <c r="M158" s="66"/>
      <c r="N158" s="66"/>
      <c r="O158" s="66"/>
      <c r="P158" s="4"/>
      <c r="U158" s="66"/>
      <c r="V158" s="66"/>
    </row>
    <row r="159" spans="1:22" ht="15.75" x14ac:dyDescent="0.25">
      <c r="A159" s="55" t="s">
        <v>87</v>
      </c>
      <c r="B159" s="56"/>
      <c r="C159" s="71">
        <f>SUM(C152:C158)</f>
        <v>3711284.540000001</v>
      </c>
      <c r="D159" s="4"/>
      <c r="E159" s="4"/>
      <c r="F159" s="4"/>
      <c r="G159" s="4"/>
      <c r="H159" s="4"/>
      <c r="I159" s="4"/>
      <c r="J159" s="66"/>
      <c r="K159" s="66"/>
      <c r="L159" s="66"/>
      <c r="M159" s="66"/>
      <c r="N159" s="66"/>
      <c r="O159" s="66"/>
      <c r="P159" s="4"/>
      <c r="U159" s="66"/>
      <c r="V159" s="66"/>
    </row>
    <row r="160" spans="1:22" ht="15.75" x14ac:dyDescent="0.25">
      <c r="A160" s="55"/>
      <c r="B160" s="56"/>
      <c r="C160" s="71"/>
      <c r="D160" s="4"/>
      <c r="E160" s="4"/>
      <c r="F160" s="4"/>
      <c r="G160" s="4"/>
      <c r="H160" s="4"/>
      <c r="I160" s="4"/>
      <c r="J160" s="66"/>
      <c r="K160" s="66"/>
      <c r="L160" s="66"/>
      <c r="M160" s="66"/>
      <c r="N160" s="66"/>
      <c r="O160" s="66"/>
      <c r="P160" s="4"/>
      <c r="U160" s="66"/>
      <c r="V160" s="66"/>
    </row>
    <row r="161" spans="1:22" x14ac:dyDescent="0.2">
      <c r="A161" s="51" t="s">
        <v>88</v>
      </c>
      <c r="B161" s="52"/>
      <c r="C161" s="69"/>
      <c r="D161" s="4"/>
      <c r="E161" s="4"/>
      <c r="F161" s="4"/>
      <c r="G161" s="4"/>
      <c r="H161" s="4"/>
      <c r="I161" s="4"/>
      <c r="J161" s="66"/>
      <c r="K161" s="66"/>
      <c r="L161" s="66"/>
      <c r="M161" s="66"/>
      <c r="N161" s="66"/>
      <c r="O161" s="66"/>
      <c r="P161" s="4"/>
      <c r="U161" s="66"/>
      <c r="V161" s="66"/>
    </row>
    <row r="162" spans="1:22" ht="12" customHeight="1" x14ac:dyDescent="0.2">
      <c r="A162" s="54" t="s">
        <v>147</v>
      </c>
      <c r="B162" s="52"/>
      <c r="C162" s="69">
        <v>276.89999999999998</v>
      </c>
      <c r="D162" s="4"/>
      <c r="E162" s="4"/>
      <c r="F162" s="4"/>
      <c r="G162" s="4"/>
      <c r="H162" s="4"/>
      <c r="I162" s="4"/>
      <c r="J162" s="66"/>
      <c r="K162" s="66"/>
      <c r="L162" s="66"/>
      <c r="M162" s="66"/>
      <c r="N162" s="66"/>
      <c r="O162" s="66"/>
      <c r="P162" s="4"/>
      <c r="U162" s="66"/>
      <c r="V162" s="66"/>
    </row>
    <row r="163" spans="1:22" ht="12" customHeight="1" x14ac:dyDescent="0.2">
      <c r="A163" s="54" t="s">
        <v>241</v>
      </c>
      <c r="B163" s="52"/>
      <c r="C163" s="69">
        <v>825</v>
      </c>
      <c r="D163" s="4"/>
      <c r="E163" s="4"/>
      <c r="F163" s="4"/>
      <c r="G163" s="4"/>
      <c r="H163" s="4"/>
      <c r="I163" s="4"/>
      <c r="J163" s="66"/>
      <c r="K163" s="66"/>
      <c r="L163" s="66"/>
      <c r="M163" s="66"/>
      <c r="N163" s="66"/>
      <c r="O163" s="66"/>
      <c r="P163" s="4"/>
      <c r="U163" s="66"/>
      <c r="V163" s="66"/>
    </row>
    <row r="164" spans="1:22" ht="12" customHeight="1" x14ac:dyDescent="0.2">
      <c r="A164" s="54" t="s">
        <v>248</v>
      </c>
      <c r="B164" s="52"/>
      <c r="C164" s="69">
        <v>2484.19</v>
      </c>
      <c r="D164" s="4"/>
      <c r="E164" s="4"/>
      <c r="F164" s="4"/>
      <c r="G164" s="4"/>
      <c r="H164" s="4"/>
      <c r="I164" s="4"/>
      <c r="J164" s="66"/>
      <c r="K164" s="66"/>
      <c r="L164" s="66"/>
      <c r="M164" s="66"/>
      <c r="N164" s="66"/>
      <c r="O164" s="66"/>
      <c r="P164" s="4"/>
      <c r="U164" s="66"/>
      <c r="V164" s="66"/>
    </row>
    <row r="165" spans="1:22" x14ac:dyDescent="0.2">
      <c r="A165" s="54" t="s">
        <v>150</v>
      </c>
      <c r="B165" s="52"/>
      <c r="C165" s="69">
        <v>11704.79</v>
      </c>
      <c r="D165" s="79"/>
      <c r="E165" s="4"/>
      <c r="F165" s="4"/>
      <c r="G165" s="4"/>
      <c r="H165" s="4"/>
      <c r="I165" s="4"/>
      <c r="J165" s="66"/>
      <c r="K165" s="66"/>
      <c r="L165" s="66"/>
      <c r="M165" s="66"/>
      <c r="N165" s="66"/>
      <c r="O165" s="66"/>
      <c r="P165" s="4"/>
      <c r="U165" s="66"/>
      <c r="V165" s="66"/>
    </row>
    <row r="166" spans="1:22" x14ac:dyDescent="0.2">
      <c r="A166" s="54" t="s">
        <v>149</v>
      </c>
      <c r="B166" s="52"/>
      <c r="C166" s="69">
        <v>4231.26</v>
      </c>
      <c r="D166" s="80"/>
      <c r="E166" s="4"/>
      <c r="F166" s="4"/>
      <c r="G166" s="4"/>
      <c r="H166" s="4"/>
      <c r="I166" s="4"/>
      <c r="J166" s="66"/>
      <c r="K166" s="66"/>
      <c r="L166" s="66"/>
      <c r="M166" s="66"/>
      <c r="N166" s="66"/>
      <c r="O166" s="66"/>
      <c r="P166" s="4"/>
      <c r="U166" s="66"/>
      <c r="V166" s="66"/>
    </row>
    <row r="167" spans="1:22" x14ac:dyDescent="0.2">
      <c r="A167" s="54" t="s">
        <v>148</v>
      </c>
      <c r="B167" s="52"/>
      <c r="C167" s="69"/>
      <c r="D167" s="80"/>
      <c r="E167" s="4"/>
      <c r="F167" s="4"/>
      <c r="G167" s="4"/>
      <c r="H167" s="4"/>
      <c r="I167" s="4"/>
      <c r="J167" s="66"/>
      <c r="K167" s="66"/>
      <c r="L167" s="66"/>
      <c r="M167" s="66"/>
      <c r="N167" s="66"/>
      <c r="O167" s="66"/>
      <c r="P167" s="4"/>
      <c r="U167" s="66"/>
      <c r="V167" s="66"/>
    </row>
    <row r="168" spans="1:22" x14ac:dyDescent="0.2">
      <c r="A168" s="54" t="s">
        <v>253</v>
      </c>
      <c r="B168" s="52"/>
      <c r="C168" s="69">
        <f>254.33+1028.03</f>
        <v>1282.3599999999999</v>
      </c>
      <c r="D168" s="80"/>
      <c r="E168" s="4"/>
      <c r="F168" s="4"/>
      <c r="G168" s="4"/>
      <c r="H168" s="4"/>
      <c r="I168" s="4"/>
      <c r="J168" s="66"/>
      <c r="K168" s="66"/>
      <c r="L168" s="66"/>
      <c r="M168" s="66"/>
      <c r="N168" s="66"/>
      <c r="O168" s="66"/>
      <c r="P168" s="4"/>
      <c r="U168" s="66"/>
      <c r="V168" s="66"/>
    </row>
    <row r="169" spans="1:22" x14ac:dyDescent="0.2">
      <c r="A169" s="54"/>
      <c r="B169" s="52"/>
      <c r="C169" s="69"/>
      <c r="D169" s="80"/>
      <c r="E169" s="4"/>
      <c r="F169" s="4"/>
      <c r="G169" s="4"/>
      <c r="H169" s="4"/>
      <c r="I169" s="4"/>
      <c r="J169" s="66"/>
      <c r="K169" s="66"/>
      <c r="L169" s="66"/>
      <c r="M169" s="66"/>
      <c r="N169" s="66"/>
      <c r="O169" s="66"/>
      <c r="P169" s="4"/>
      <c r="U169" s="66"/>
      <c r="V169" s="66"/>
    </row>
    <row r="170" spans="1:22" x14ac:dyDescent="0.2">
      <c r="A170" s="54"/>
      <c r="B170" s="52"/>
      <c r="C170" s="70"/>
      <c r="D170" s="81"/>
      <c r="E170" s="82"/>
      <c r="F170" s="4"/>
      <c r="G170" s="4"/>
      <c r="H170" s="4"/>
      <c r="I170" s="4"/>
      <c r="J170" s="66"/>
      <c r="K170" s="66"/>
      <c r="L170" s="66"/>
      <c r="M170" s="66"/>
      <c r="N170" s="66"/>
      <c r="O170" s="66"/>
      <c r="P170" s="4"/>
      <c r="U170" s="66"/>
      <c r="V170" s="66"/>
    </row>
    <row r="171" spans="1:22" ht="15.75" x14ac:dyDescent="0.25">
      <c r="A171" s="55"/>
      <c r="B171" s="56"/>
      <c r="C171" s="71">
        <f>SUM(C162:C170)</f>
        <v>20804.5</v>
      </c>
      <c r="D171" s="81"/>
      <c r="E171" s="82"/>
      <c r="F171" s="4"/>
      <c r="G171" s="4"/>
      <c r="H171" s="4"/>
      <c r="I171" s="4"/>
      <c r="J171" s="66"/>
      <c r="K171" s="66"/>
      <c r="L171" s="66"/>
      <c r="M171" s="66"/>
      <c r="N171" s="66"/>
      <c r="O171" s="66"/>
      <c r="P171" s="4"/>
      <c r="U171" s="66"/>
      <c r="V171" s="66"/>
    </row>
    <row r="172" spans="1:22" ht="2.1" customHeight="1" x14ac:dyDescent="0.25">
      <c r="A172" s="55"/>
      <c r="B172" s="56"/>
      <c r="C172" s="72"/>
      <c r="D172" s="80"/>
      <c r="E172" s="4"/>
      <c r="F172" s="4"/>
      <c r="G172" s="4"/>
      <c r="H172" s="4"/>
      <c r="I172" s="4"/>
      <c r="J172" s="66"/>
      <c r="K172" s="66"/>
      <c r="L172" s="66"/>
      <c r="M172" s="66"/>
      <c r="N172" s="66"/>
      <c r="O172" s="66"/>
      <c r="P172" s="4"/>
      <c r="U172" s="66"/>
      <c r="V172" s="66"/>
    </row>
    <row r="173" spans="1:22" x14ac:dyDescent="0.2">
      <c r="A173" s="54"/>
      <c r="B173" s="52"/>
      <c r="C173" s="69"/>
      <c r="D173" s="80"/>
      <c r="E173" s="4"/>
      <c r="F173" s="4"/>
      <c r="G173" s="4"/>
      <c r="H173" s="4"/>
      <c r="I173" s="4"/>
      <c r="J173" s="66"/>
      <c r="K173" s="66"/>
      <c r="L173" s="66"/>
      <c r="M173" s="66"/>
      <c r="N173" s="66"/>
      <c r="O173" s="66"/>
      <c r="P173" s="4"/>
      <c r="U173" s="66"/>
      <c r="V173" s="66"/>
    </row>
    <row r="174" spans="1:22" ht="2.1" customHeight="1" thickBot="1" x14ac:dyDescent="0.3">
      <c r="A174" s="57" t="s">
        <v>238</v>
      </c>
      <c r="B174" s="58"/>
      <c r="C174" s="68">
        <f>C159+C171</f>
        <v>3732089.040000001</v>
      </c>
      <c r="D174" s="79"/>
      <c r="E174" s="4"/>
      <c r="F174" s="4"/>
      <c r="G174" s="4"/>
      <c r="H174" s="4"/>
      <c r="I174" s="4"/>
      <c r="J174" s="66"/>
      <c r="K174" s="66"/>
      <c r="L174" s="66"/>
      <c r="M174" s="66"/>
      <c r="N174" s="66"/>
      <c r="O174" s="66"/>
      <c r="P174" s="4"/>
      <c r="U174" s="66"/>
      <c r="V174" s="66"/>
    </row>
    <row r="175" spans="1:22" ht="9.9499999999999993" customHeight="1" x14ac:dyDescent="0.2">
      <c r="A175" s="54"/>
      <c r="B175" s="52"/>
      <c r="C175" s="69"/>
      <c r="D175" s="79"/>
      <c r="E175" s="4"/>
      <c r="F175" s="4"/>
      <c r="G175" s="4"/>
      <c r="H175" s="4"/>
      <c r="I175" s="4"/>
      <c r="J175" s="66"/>
      <c r="K175" s="66"/>
      <c r="L175" s="66"/>
      <c r="M175" s="66"/>
      <c r="N175" s="66"/>
      <c r="O175" s="66"/>
      <c r="P175" s="4"/>
      <c r="U175" s="66"/>
      <c r="V175" s="66"/>
    </row>
    <row r="176" spans="1:22" ht="16.5" thickBot="1" x14ac:dyDescent="0.3">
      <c r="A176" s="57" t="s">
        <v>275</v>
      </c>
      <c r="B176" s="58"/>
      <c r="C176" s="68">
        <f>C159+C171</f>
        <v>3732089.040000001</v>
      </c>
      <c r="D176" s="81"/>
      <c r="E176" s="4"/>
      <c r="F176" s="4"/>
      <c r="G176" s="4"/>
      <c r="H176" s="4"/>
      <c r="I176" s="4"/>
      <c r="J176" s="66"/>
      <c r="K176" s="66"/>
      <c r="L176" s="66"/>
      <c r="M176" s="66"/>
      <c r="N176" s="66"/>
      <c r="O176" s="66"/>
      <c r="P176" s="4"/>
      <c r="Q176" s="4"/>
      <c r="U176" s="66"/>
      <c r="V176" s="66"/>
    </row>
    <row r="177" spans="1:22" x14ac:dyDescent="0.2">
      <c r="A177" s="52"/>
      <c r="B177" s="86"/>
      <c r="C177" s="4"/>
      <c r="D177" s="4"/>
      <c r="E177" s="4"/>
      <c r="F177" s="4"/>
      <c r="G177" s="4"/>
      <c r="H177" s="4"/>
      <c r="I177" s="4"/>
      <c r="J177" s="66"/>
      <c r="K177" s="66"/>
      <c r="L177" s="66"/>
      <c r="M177" s="66"/>
      <c r="N177" s="66"/>
      <c r="O177" s="66"/>
      <c r="P177" s="4"/>
      <c r="U177" s="66"/>
      <c r="V177" s="66"/>
    </row>
    <row r="178" spans="1:22" x14ac:dyDescent="0.2">
      <c r="B178" s="86"/>
      <c r="C178" s="87"/>
      <c r="D178" s="4"/>
      <c r="E178" s="4"/>
    </row>
    <row r="179" spans="1:22" x14ac:dyDescent="0.2">
      <c r="C179" s="13"/>
      <c r="D179" s="4"/>
    </row>
    <row r="180" spans="1:22" x14ac:dyDescent="0.2">
      <c r="C180" s="13"/>
      <c r="D180" s="4"/>
    </row>
    <row r="181" spans="1:22" x14ac:dyDescent="0.2">
      <c r="C181" s="14"/>
      <c r="D181" s="4"/>
      <c r="I181" s="4"/>
      <c r="K181" s="66"/>
      <c r="M181" s="66"/>
      <c r="N181" s="66"/>
      <c r="O181" s="66"/>
      <c r="P181" s="4"/>
      <c r="V181" s="66"/>
    </row>
    <row r="182" spans="1:22" x14ac:dyDescent="0.2">
      <c r="C182" s="14"/>
      <c r="D182" s="4"/>
      <c r="I182" s="4"/>
      <c r="K182" s="66"/>
      <c r="M182" s="66"/>
      <c r="N182" s="66"/>
      <c r="O182" s="66"/>
      <c r="P182" s="4"/>
      <c r="V182" s="66"/>
    </row>
    <row r="183" spans="1:22" x14ac:dyDescent="0.2">
      <c r="C183" s="14"/>
      <c r="D183" s="4"/>
      <c r="I183" s="4"/>
      <c r="K183" s="66"/>
      <c r="M183" s="66"/>
      <c r="N183" s="66"/>
      <c r="O183" s="66"/>
      <c r="P183" s="4"/>
      <c r="V183" s="66"/>
    </row>
    <row r="184" spans="1:22" x14ac:dyDescent="0.2">
      <c r="C184" s="14"/>
      <c r="D184" s="4"/>
    </row>
    <row r="185" spans="1:22" x14ac:dyDescent="0.2">
      <c r="C185" s="14"/>
      <c r="D185" s="4"/>
    </row>
    <row r="186" spans="1:22" x14ac:dyDescent="0.2">
      <c r="C186" s="14"/>
      <c r="D186" s="4"/>
    </row>
    <row r="187" spans="1:22" x14ac:dyDescent="0.2">
      <c r="C187" s="14"/>
      <c r="D187" s="4"/>
    </row>
    <row r="188" spans="1:22" x14ac:dyDescent="0.2">
      <c r="D188" s="4"/>
    </row>
    <row r="189" spans="1:22" x14ac:dyDescent="0.2">
      <c r="D189" s="4"/>
    </row>
    <row r="190" spans="1:22" x14ac:dyDescent="0.2">
      <c r="B190" s="84" t="s">
        <v>254</v>
      </c>
      <c r="C190" s="85" t="s">
        <v>255</v>
      </c>
      <c r="E190" s="85"/>
      <c r="I190" s="84" t="s">
        <v>260</v>
      </c>
      <c r="J190" s="85"/>
      <c r="K190" s="74"/>
      <c r="M190" s="85" t="s">
        <v>279</v>
      </c>
      <c r="N190" s="85"/>
      <c r="O190" s="85"/>
      <c r="U190" s="85" t="s">
        <v>252</v>
      </c>
      <c r="V190" s="74"/>
    </row>
    <row r="191" spans="1:22" x14ac:dyDescent="0.2">
      <c r="B191" s="84" t="s">
        <v>89</v>
      </c>
      <c r="C191" s="85" t="s">
        <v>261</v>
      </c>
      <c r="E191" s="85"/>
      <c r="I191" s="84" t="s">
        <v>247</v>
      </c>
      <c r="J191" s="84"/>
      <c r="M191" s="84" t="s">
        <v>242</v>
      </c>
      <c r="N191" s="84"/>
      <c r="O191" s="84"/>
      <c r="U191" s="84" t="s">
        <v>242</v>
      </c>
    </row>
    <row r="195" spans="7:22" x14ac:dyDescent="0.2">
      <c r="I195" s="4"/>
      <c r="K195" s="66"/>
      <c r="M195" s="66"/>
      <c r="N195" s="66"/>
      <c r="O195" s="66"/>
      <c r="P195" s="4"/>
      <c r="V195" s="66"/>
    </row>
    <row r="196" spans="7:22" x14ac:dyDescent="0.2">
      <c r="I196" s="4"/>
      <c r="K196" s="66"/>
      <c r="M196" s="66"/>
      <c r="N196" s="66"/>
      <c r="O196" s="66"/>
      <c r="P196" s="4"/>
      <c r="V196" s="66"/>
    </row>
    <row r="197" spans="7:22" x14ac:dyDescent="0.2">
      <c r="G197" s="59"/>
      <c r="I197" s="59"/>
      <c r="K197" s="67"/>
      <c r="M197" s="67"/>
      <c r="N197" s="67"/>
      <c r="O197" s="67"/>
      <c r="P197" s="4"/>
      <c r="V197" s="67"/>
    </row>
    <row r="198" spans="7:22" x14ac:dyDescent="0.2">
      <c r="G198" s="59"/>
      <c r="I198" s="59"/>
      <c r="K198" s="67"/>
      <c r="M198" s="67"/>
      <c r="N198" s="67"/>
      <c r="O198" s="67"/>
      <c r="P198" s="4"/>
      <c r="V198" s="67"/>
    </row>
    <row r="199" spans="7:22" x14ac:dyDescent="0.2">
      <c r="G199" s="59"/>
      <c r="P199" s="4"/>
    </row>
    <row r="200" spans="7:22" x14ac:dyDescent="0.2">
      <c r="G200" s="59"/>
    </row>
    <row r="201" spans="7:22" x14ac:dyDescent="0.2">
      <c r="G201" s="59"/>
    </row>
    <row r="202" spans="7:22" x14ac:dyDescent="0.2">
      <c r="G202" s="59"/>
      <c r="P202" s="4"/>
    </row>
    <row r="203" spans="7:22" x14ac:dyDescent="0.2">
      <c r="G203" s="59"/>
    </row>
    <row r="204" spans="7:22" x14ac:dyDescent="0.2">
      <c r="G204" s="59"/>
    </row>
    <row r="205" spans="7:22" x14ac:dyDescent="0.2">
      <c r="G205" s="59"/>
    </row>
    <row r="206" spans="7:22" x14ac:dyDescent="0.2">
      <c r="G206" s="59"/>
    </row>
    <row r="207" spans="7:22" x14ac:dyDescent="0.2">
      <c r="G207" s="59"/>
    </row>
    <row r="208" spans="7:22" x14ac:dyDescent="0.2">
      <c r="G208" s="59"/>
    </row>
    <row r="209" spans="7:7" x14ac:dyDescent="0.2">
      <c r="G209" s="59"/>
    </row>
    <row r="210" spans="7:7" x14ac:dyDescent="0.2">
      <c r="G210" s="59"/>
    </row>
    <row r="211" spans="7:7" x14ac:dyDescent="0.2">
      <c r="G211" s="59"/>
    </row>
    <row r="212" spans="7:7" x14ac:dyDescent="0.2">
      <c r="G212" s="59"/>
    </row>
    <row r="213" spans="7:7" x14ac:dyDescent="0.2">
      <c r="G213" s="59"/>
    </row>
    <row r="214" spans="7:7" x14ac:dyDescent="0.2">
      <c r="G214" s="59"/>
    </row>
  </sheetData>
  <mergeCells count="6">
    <mergeCell ref="N6:O6"/>
    <mergeCell ref="B6:B7"/>
    <mergeCell ref="H6:I6"/>
    <mergeCell ref="J6:K6"/>
    <mergeCell ref="Q6:Q7"/>
    <mergeCell ref="L6:M6"/>
  </mergeCells>
  <pageMargins left="0.70866141732283472" right="0.70866141732283472" top="0.74803149606299213" bottom="0.74803149606299213" header="0.31496062992125984" footer="0.31496062992125984"/>
  <pageSetup scale="46" orientation="landscape" horizontalDpi="4294967293" verticalDpi="300" r:id="rId1"/>
  <rowBreaks count="2" manualBreakCount="2">
    <brk id="56" max="16383" man="1"/>
    <brk id="1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12</vt:i4>
      </vt:variant>
    </vt:vector>
  </HeadingPairs>
  <TitlesOfParts>
    <vt:vector size="24" baseType="lpstr">
      <vt:lpstr>ENERO 2024</vt:lpstr>
      <vt:lpstr>FEBRERO 2024</vt:lpstr>
      <vt:lpstr>MARZO 2024</vt:lpstr>
      <vt:lpstr>ABRIL 2024 </vt:lpstr>
      <vt:lpstr>MAYO 2024  </vt:lpstr>
      <vt:lpstr>JUNIO 2024 </vt:lpstr>
      <vt:lpstr>JULIO 2024  </vt:lpstr>
      <vt:lpstr>AGOSTO 2024 </vt:lpstr>
      <vt:lpstr>SEPTIEMBRE 2024</vt:lpstr>
      <vt:lpstr>OCTUBRE 2024</vt:lpstr>
      <vt:lpstr>NOVIEMBRE 2024</vt:lpstr>
      <vt:lpstr>DICIEMBRE 2024</vt:lpstr>
      <vt:lpstr>'ABRIL 2024 '!Área_de_impresión</vt:lpstr>
      <vt:lpstr>'AGOSTO 2024 '!Área_de_impresión</vt:lpstr>
      <vt:lpstr>'DICIEMBRE 2024'!Área_de_impresión</vt:lpstr>
      <vt:lpstr>'ENERO 2024'!Área_de_impresión</vt:lpstr>
      <vt:lpstr>'FEBRERO 2024'!Área_de_impresión</vt:lpstr>
      <vt:lpstr>'JULIO 2024  '!Área_de_impresión</vt:lpstr>
      <vt:lpstr>'JUNIO 2024 '!Área_de_impresión</vt:lpstr>
      <vt:lpstr>'MARZO 2024'!Área_de_impresión</vt:lpstr>
      <vt:lpstr>'MAYO 2024  '!Área_de_impresión</vt:lpstr>
      <vt:lpstr>'NOVIEMBRE 2024'!Área_de_impresión</vt:lpstr>
      <vt:lpstr>'OCTUBRE 2024'!Área_de_impresión</vt:lpstr>
      <vt:lpstr>'SEPTIEMBRE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Coordinador Financiero</cp:lastModifiedBy>
  <cp:lastPrinted>2025-01-21T19:11:17Z</cp:lastPrinted>
  <dcterms:created xsi:type="dcterms:W3CDTF">2018-02-13T22:14:16Z</dcterms:created>
  <dcterms:modified xsi:type="dcterms:W3CDTF">2025-01-21T19:14:46Z</dcterms:modified>
</cp:coreProperties>
</file>